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tabRatio="917"/>
  </bookViews>
  <sheets>
    <sheet name="RESUMO" sheetId="1" r:id="rId1"/>
    <sheet name="1- Terapeuta ocupacional- 2" sheetId="28" r:id="rId2"/>
    <sheet name="2- Neuropediatra ES. Autismo" sheetId="29" r:id="rId3"/>
    <sheet name="3- Neuropsicopedagogo" sheetId="23" r:id="rId4"/>
    <sheet name="4- Alimentadorde-sistema " sheetId="21" r:id="rId5"/>
    <sheet name="5- Psicologa" sheetId="24" r:id="rId6"/>
    <sheet name="6- Atendente Terapêutico" sheetId="20" r:id="rId7"/>
    <sheet name="7- Psicomotrocista" sheetId="17" r:id="rId8"/>
    <sheet name="8- Psicopedagogo" sheetId="25" r:id="rId9"/>
    <sheet name="9- fonodiologo" sheetId="27" r:id="rId10"/>
    <sheet name="Planilha1" sheetId="8" state="hidden" r:id="rId11"/>
    <sheet name="HE" sheetId="9" state="hidden" r:id="rId12"/>
    <sheet name="HE 2" sheetId="10" state="hidden" r:id="rId13"/>
  </sheets>
  <externalReferences>
    <externalReference r:id="rId14"/>
  </externalReferences>
  <definedNames>
    <definedName name="_xlnm.Print_Area" localSheetId="1">'1- Terapeuta ocupacional- 2'!$A$1:$J$157</definedName>
    <definedName name="_xlnm.Print_Area" localSheetId="2">'2- Neuropediatra ES. Autismo'!$A$1:$J$157</definedName>
    <definedName name="_xlnm.Print_Area" localSheetId="3">'3- Neuropsicopedagogo'!$A$1:$J$156</definedName>
    <definedName name="_xlnm.Print_Area" localSheetId="4">'4- Alimentadorde-sistema '!$A$1:$J$156</definedName>
    <definedName name="_xlnm.Print_Area" localSheetId="5">'5- Psicologa'!$A$1:$J$156</definedName>
    <definedName name="_xlnm.Print_Area" localSheetId="6">'6- Atendente Terapêutico'!$A$1:$J$156</definedName>
    <definedName name="_xlnm.Print_Area" localSheetId="7">'7- Psicomotrocista'!$A$1:$J$156</definedName>
    <definedName name="_xlnm.Print_Area" localSheetId="8">'8- Psicopedagogo'!$A$1:$J$156</definedName>
    <definedName name="_xlnm.Print_Area" localSheetId="9">'9- fonodiologo'!$A$1:$J$157</definedName>
    <definedName name="_xlnm.Print_Area" localSheetId="0">RESUMO!$A$1:$K$24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7" i="23" l="1"/>
  <c r="J157" i="25"/>
  <c r="J157" i="17"/>
  <c r="J157" i="20"/>
  <c r="J157" i="24"/>
  <c r="J157" i="21"/>
  <c r="G10" i="1"/>
  <c r="G11" i="1"/>
  <c r="G12" i="1"/>
  <c r="G13" i="1"/>
  <c r="G14" i="1"/>
  <c r="J27" i="20" l="1"/>
  <c r="J27" i="24"/>
  <c r="J27" i="21"/>
  <c r="H21" i="21"/>
  <c r="J27" i="28"/>
  <c r="H24" i="25"/>
  <c r="J27" i="25" s="1"/>
  <c r="H19" i="17"/>
  <c r="J27" i="29"/>
  <c r="I142" i="29" l="1"/>
  <c r="L123" i="29"/>
  <c r="J122" i="29"/>
  <c r="J153" i="29" s="1"/>
  <c r="J67" i="29"/>
  <c r="J63" i="29"/>
  <c r="I49" i="29"/>
  <c r="I55" i="29" s="1"/>
  <c r="H19" i="29"/>
  <c r="H22" i="29" s="1"/>
  <c r="I142" i="28"/>
  <c r="L123" i="28"/>
  <c r="J122" i="28"/>
  <c r="J153" i="28" s="1"/>
  <c r="J67" i="28"/>
  <c r="J63" i="28"/>
  <c r="I49" i="28"/>
  <c r="I55" i="28" s="1"/>
  <c r="M21" i="28"/>
  <c r="H19" i="28"/>
  <c r="H22" i="28" s="1"/>
  <c r="I142" i="27"/>
  <c r="L123" i="27"/>
  <c r="J122" i="27"/>
  <c r="J153" i="27" s="1"/>
  <c r="J67" i="27"/>
  <c r="J63" i="27"/>
  <c r="J59" i="27"/>
  <c r="I49" i="27"/>
  <c r="I55" i="27" s="1"/>
  <c r="J27" i="27"/>
  <c r="J28" i="27" s="1"/>
  <c r="H19" i="27"/>
  <c r="H22" i="27" s="1"/>
  <c r="J71" i="27" l="1"/>
  <c r="J77" i="27" s="1"/>
  <c r="J59" i="29"/>
  <c r="J71" i="29" s="1"/>
  <c r="J77" i="29" s="1"/>
  <c r="J28" i="29"/>
  <c r="J31" i="29" s="1"/>
  <c r="J107" i="29"/>
  <c r="J108" i="29" s="1"/>
  <c r="J113" i="29" s="1"/>
  <c r="I86" i="29"/>
  <c r="J107" i="28"/>
  <c r="J108" i="28" s="1"/>
  <c r="J113" i="28" s="1"/>
  <c r="I86" i="28"/>
  <c r="J59" i="28"/>
  <c r="J71" i="28" s="1"/>
  <c r="J77" i="28" s="1"/>
  <c r="J28" i="28"/>
  <c r="J31" i="28" s="1"/>
  <c r="I86" i="27"/>
  <c r="J107" i="27"/>
  <c r="J108" i="27" s="1"/>
  <c r="J113" i="27" s="1"/>
  <c r="J31" i="27"/>
  <c r="J98" i="29" l="1"/>
  <c r="J94" i="29"/>
  <c r="J34" i="29"/>
  <c r="J149" i="29" s="1"/>
  <c r="J49" i="29"/>
  <c r="J39" i="29"/>
  <c r="J87" i="29"/>
  <c r="J48" i="29"/>
  <c r="J51" i="29"/>
  <c r="J50" i="29"/>
  <c r="J54" i="29"/>
  <c r="J47" i="29"/>
  <c r="J40" i="29"/>
  <c r="J85" i="29"/>
  <c r="J86" i="29" s="1"/>
  <c r="J53" i="29"/>
  <c r="J84" i="29"/>
  <c r="J52" i="29"/>
  <c r="J98" i="28"/>
  <c r="J94" i="28"/>
  <c r="J51" i="28"/>
  <c r="J50" i="28"/>
  <c r="J40" i="28"/>
  <c r="J49" i="28"/>
  <c r="J39" i="28"/>
  <c r="J87" i="28"/>
  <c r="J34" i="28"/>
  <c r="J149" i="28" s="1"/>
  <c r="J48" i="28"/>
  <c r="J54" i="28"/>
  <c r="J47" i="28"/>
  <c r="J84" i="28"/>
  <c r="J52" i="28"/>
  <c r="J85" i="28"/>
  <c r="J86" i="28" s="1"/>
  <c r="J53" i="28"/>
  <c r="J50" i="27"/>
  <c r="J40" i="27"/>
  <c r="J49" i="27"/>
  <c r="J39" i="27"/>
  <c r="J54" i="27"/>
  <c r="J47" i="27"/>
  <c r="J53" i="27"/>
  <c r="J94" i="27"/>
  <c r="J87" i="27"/>
  <c r="J34" i="27"/>
  <c r="J149" i="27" s="1"/>
  <c r="J85" i="27"/>
  <c r="J86" i="27" s="1"/>
  <c r="J52" i="27"/>
  <c r="J48" i="27"/>
  <c r="J84" i="27"/>
  <c r="J98" i="27"/>
  <c r="J51" i="27"/>
  <c r="J82" i="28" l="1"/>
  <c r="J82" i="27"/>
  <c r="J41" i="27"/>
  <c r="J42" i="27" s="1"/>
  <c r="J55" i="27"/>
  <c r="J76" i="27" s="1"/>
  <c r="J41" i="29"/>
  <c r="J42" i="29" s="1"/>
  <c r="J43" i="29" s="1"/>
  <c r="J75" i="29" s="1"/>
  <c r="J55" i="29"/>
  <c r="J76" i="29" s="1"/>
  <c r="J82" i="29"/>
  <c r="J91" i="29"/>
  <c r="I98" i="29" s="1"/>
  <c r="J83" i="28"/>
  <c r="I83" i="28" s="1"/>
  <c r="J55" i="28"/>
  <c r="J76" i="28" s="1"/>
  <c r="J91" i="28"/>
  <c r="I98" i="28" s="1"/>
  <c r="J41" i="28"/>
  <c r="J83" i="27"/>
  <c r="I83" i="27" s="1"/>
  <c r="J91" i="27"/>
  <c r="J78" i="29" l="1"/>
  <c r="J150" i="29" s="1"/>
  <c r="J88" i="28"/>
  <c r="J151" i="28" s="1"/>
  <c r="J43" i="27"/>
  <c r="J75" i="27" s="1"/>
  <c r="J78" i="27" s="1"/>
  <c r="J150" i="27" s="1"/>
  <c r="J97" i="29"/>
  <c r="I97" i="29" s="1"/>
  <c r="J96" i="29"/>
  <c r="I96" i="29" s="1"/>
  <c r="J99" i="29"/>
  <c r="I99" i="29" s="1"/>
  <c r="J95" i="29"/>
  <c r="J83" i="29"/>
  <c r="I83" i="29" s="1"/>
  <c r="J42" i="28"/>
  <c r="J43" i="28" s="1"/>
  <c r="J75" i="28" s="1"/>
  <c r="J78" i="28" s="1"/>
  <c r="J97" i="28"/>
  <c r="I97" i="28" s="1"/>
  <c r="J96" i="28"/>
  <c r="I96" i="28" s="1"/>
  <c r="J99" i="28"/>
  <c r="I99" i="28" s="1"/>
  <c r="J95" i="28"/>
  <c r="J99" i="27"/>
  <c r="I99" i="27" s="1"/>
  <c r="J95" i="27"/>
  <c r="J97" i="27"/>
  <c r="I97" i="27" s="1"/>
  <c r="J96" i="27"/>
  <c r="I96" i="27" s="1"/>
  <c r="I98" i="27"/>
  <c r="J88" i="27"/>
  <c r="J151" i="27" s="1"/>
  <c r="J88" i="29" l="1"/>
  <c r="I95" i="29"/>
  <c r="J100" i="29"/>
  <c r="J150" i="28"/>
  <c r="I95" i="28"/>
  <c r="J100" i="28"/>
  <c r="I95" i="27"/>
  <c r="J100" i="27"/>
  <c r="J101" i="29" l="1"/>
  <c r="J102" i="29" s="1"/>
  <c r="J112" i="29" s="1"/>
  <c r="J114" i="29" s="1"/>
  <c r="J151" i="29"/>
  <c r="J101" i="28"/>
  <c r="J102" i="28" s="1"/>
  <c r="J112" i="28" s="1"/>
  <c r="J114" i="28" s="1"/>
  <c r="J101" i="27"/>
  <c r="J102" i="27" s="1"/>
  <c r="J112" i="27" s="1"/>
  <c r="J114" i="27" s="1"/>
  <c r="J152" i="29" l="1"/>
  <c r="J154" i="29" s="1"/>
  <c r="J126" i="29"/>
  <c r="J127" i="29" s="1"/>
  <c r="J152" i="28"/>
  <c r="J154" i="28" s="1"/>
  <c r="J126" i="28"/>
  <c r="J127" i="28" s="1"/>
  <c r="J152" i="27"/>
  <c r="J154" i="27" s="1"/>
  <c r="J126" i="27"/>
  <c r="J127" i="27" s="1"/>
  <c r="J128" i="29" l="1"/>
  <c r="J129" i="29" s="1"/>
  <c r="J130" i="29" s="1"/>
  <c r="J128" i="28"/>
  <c r="J129" i="28" s="1"/>
  <c r="J128" i="27"/>
  <c r="J129" i="27" s="1"/>
  <c r="J130" i="27" s="1"/>
  <c r="J139" i="29" l="1"/>
  <c r="J134" i="29"/>
  <c r="J133" i="29"/>
  <c r="J130" i="28"/>
  <c r="J133" i="27"/>
  <c r="J139" i="27"/>
  <c r="J134" i="27"/>
  <c r="J142" i="27" l="1"/>
  <c r="J142" i="29"/>
  <c r="J140" i="29"/>
  <c r="J155" i="29" s="1"/>
  <c r="J156" i="29" s="1"/>
  <c r="J139" i="28"/>
  <c r="J134" i="28"/>
  <c r="J133" i="28"/>
  <c r="J140" i="27"/>
  <c r="J155" i="27" s="1"/>
  <c r="J156" i="27" s="1"/>
  <c r="J157" i="27" l="1"/>
  <c r="G15" i="1" s="1"/>
  <c r="I15" i="1"/>
  <c r="J157" i="29"/>
  <c r="G8" i="1" s="1"/>
  <c r="I8" i="1" s="1"/>
  <c r="J142" i="28"/>
  <c r="J140" i="28"/>
  <c r="J155" i="28" s="1"/>
  <c r="J156" i="28" s="1"/>
  <c r="J157" i="28" l="1"/>
  <c r="G7" i="1" s="1"/>
  <c r="I7" i="1" s="1"/>
  <c r="J59" i="25"/>
  <c r="I142" i="25"/>
  <c r="L123" i="25"/>
  <c r="J122" i="25"/>
  <c r="J153" i="25" s="1"/>
  <c r="J67" i="25"/>
  <c r="J63" i="25"/>
  <c r="I49" i="25"/>
  <c r="I55" i="25" s="1"/>
  <c r="H19" i="25"/>
  <c r="H22" i="25" s="1"/>
  <c r="J28" i="24"/>
  <c r="J31" i="24" s="1"/>
  <c r="I142" i="24"/>
  <c r="L123" i="24"/>
  <c r="J122" i="24"/>
  <c r="J153" i="24" s="1"/>
  <c r="J67" i="24"/>
  <c r="J63" i="24"/>
  <c r="I49" i="24"/>
  <c r="I55" i="24" s="1"/>
  <c r="J107" i="24" s="1"/>
  <c r="J108" i="24" s="1"/>
  <c r="J113" i="24" s="1"/>
  <c r="H19" i="24"/>
  <c r="H22" i="24" s="1"/>
  <c r="I142" i="23"/>
  <c r="L123" i="23"/>
  <c r="J122" i="23"/>
  <c r="J153" i="23" s="1"/>
  <c r="J67" i="23"/>
  <c r="J63" i="23"/>
  <c r="I49" i="23"/>
  <c r="I55" i="23" s="1"/>
  <c r="J27" i="23"/>
  <c r="H19" i="23"/>
  <c r="H22" i="23" s="1"/>
  <c r="I142" i="21"/>
  <c r="L123" i="21"/>
  <c r="J122" i="21"/>
  <c r="J153" i="21" s="1"/>
  <c r="J67" i="21"/>
  <c r="J63" i="21"/>
  <c r="I49" i="21"/>
  <c r="I55" i="21" s="1"/>
  <c r="H19" i="21"/>
  <c r="H22" i="21" s="1"/>
  <c r="I142" i="20"/>
  <c r="L123" i="20"/>
  <c r="J122" i="20"/>
  <c r="J153" i="20" s="1"/>
  <c r="J67" i="20"/>
  <c r="J63" i="20"/>
  <c r="I49" i="20"/>
  <c r="I55" i="20" s="1"/>
  <c r="H19" i="20"/>
  <c r="H22" i="20" s="1"/>
  <c r="H24" i="17"/>
  <c r="J27" i="17" s="1"/>
  <c r="J59" i="17" s="1"/>
  <c r="J71" i="17" s="1"/>
  <c r="J77" i="17" s="1"/>
  <c r="I142" i="17"/>
  <c r="L123" i="17"/>
  <c r="J122" i="17"/>
  <c r="J153" i="17" s="1"/>
  <c r="J67" i="17"/>
  <c r="J63" i="17"/>
  <c r="I49" i="17"/>
  <c r="I55" i="17" s="1"/>
  <c r="H22" i="17"/>
  <c r="I86" i="17" l="1"/>
  <c r="J107" i="17"/>
  <c r="J108" i="17" s="1"/>
  <c r="J113" i="17" s="1"/>
  <c r="J71" i="25"/>
  <c r="J77" i="25" s="1"/>
  <c r="J107" i="25"/>
  <c r="J108" i="25" s="1"/>
  <c r="J113" i="25" s="1"/>
  <c r="I86" i="25"/>
  <c r="J28" i="25"/>
  <c r="J31" i="25" s="1"/>
  <c r="J59" i="24"/>
  <c r="J71" i="24" s="1"/>
  <c r="J77" i="24" s="1"/>
  <c r="J50" i="24"/>
  <c r="J40" i="24"/>
  <c r="J52" i="24"/>
  <c r="J49" i="24"/>
  <c r="J39" i="24"/>
  <c r="J41" i="24" s="1"/>
  <c r="J87" i="24"/>
  <c r="J34" i="24"/>
  <c r="J149" i="24" s="1"/>
  <c r="J85" i="24"/>
  <c r="J86" i="24" s="1"/>
  <c r="J53" i="24"/>
  <c r="J84" i="24"/>
  <c r="J98" i="24"/>
  <c r="J48" i="24"/>
  <c r="J94" i="24"/>
  <c r="J51" i="24"/>
  <c r="J54" i="24"/>
  <c r="J47" i="24"/>
  <c r="I86" i="24"/>
  <c r="J107" i="23"/>
  <c r="J108" i="23" s="1"/>
  <c r="J113" i="23" s="1"/>
  <c r="I86" i="23"/>
  <c r="J59" i="23"/>
  <c r="J71" i="23" s="1"/>
  <c r="J77" i="23" s="1"/>
  <c r="J28" i="23"/>
  <c r="J31" i="23" s="1"/>
  <c r="J107" i="21"/>
  <c r="J108" i="21" s="1"/>
  <c r="J113" i="21" s="1"/>
  <c r="I86" i="21"/>
  <c r="J59" i="21"/>
  <c r="J71" i="21" s="1"/>
  <c r="J77" i="21" s="1"/>
  <c r="J28" i="21"/>
  <c r="J31" i="21" s="1"/>
  <c r="J59" i="20"/>
  <c r="J71" i="20" s="1"/>
  <c r="J77" i="20" s="1"/>
  <c r="J28" i="20"/>
  <c r="J31" i="20" s="1"/>
  <c r="J107" i="20"/>
  <c r="J108" i="20" s="1"/>
  <c r="J113" i="20" s="1"/>
  <c r="I86" i="20"/>
  <c r="J28" i="17"/>
  <c r="J31" i="17" s="1"/>
  <c r="J50" i="25" l="1"/>
  <c r="J40" i="25"/>
  <c r="J51" i="25"/>
  <c r="J49" i="25"/>
  <c r="J39" i="25"/>
  <c r="J52" i="25"/>
  <c r="J87" i="25"/>
  <c r="J34" i="25"/>
  <c r="J149" i="25" s="1"/>
  <c r="J98" i="25"/>
  <c r="J48" i="25"/>
  <c r="J54" i="25"/>
  <c r="J47" i="25"/>
  <c r="J94" i="25"/>
  <c r="J85" i="25"/>
  <c r="J86" i="25" s="1"/>
  <c r="J53" i="25"/>
  <c r="J84" i="25"/>
  <c r="J42" i="24"/>
  <c r="J43" i="24" s="1"/>
  <c r="J75" i="24" s="1"/>
  <c r="J82" i="24"/>
  <c r="J55" i="24"/>
  <c r="J76" i="24" s="1"/>
  <c r="J91" i="24"/>
  <c r="J50" i="23"/>
  <c r="J40" i="23"/>
  <c r="J49" i="23"/>
  <c r="J39" i="23"/>
  <c r="J34" i="23"/>
  <c r="J149" i="23" s="1"/>
  <c r="J51" i="23"/>
  <c r="J87" i="23"/>
  <c r="J48" i="23"/>
  <c r="J53" i="23"/>
  <c r="J54" i="23"/>
  <c r="J47" i="23"/>
  <c r="J85" i="23"/>
  <c r="J86" i="23" s="1"/>
  <c r="J84" i="23"/>
  <c r="J52" i="23"/>
  <c r="J98" i="23"/>
  <c r="J94" i="23"/>
  <c r="J49" i="21"/>
  <c r="J39" i="21"/>
  <c r="J54" i="21"/>
  <c r="J98" i="21"/>
  <c r="J94" i="21"/>
  <c r="J87" i="21"/>
  <c r="J34" i="21"/>
  <c r="J149" i="21" s="1"/>
  <c r="J48" i="21"/>
  <c r="J47" i="21"/>
  <c r="J52" i="21"/>
  <c r="J40" i="21"/>
  <c r="J85" i="21"/>
  <c r="J86" i="21" s="1"/>
  <c r="J53" i="21"/>
  <c r="J84" i="21"/>
  <c r="J51" i="21"/>
  <c r="J50" i="21"/>
  <c r="J50" i="20"/>
  <c r="J40" i="20"/>
  <c r="J49" i="20"/>
  <c r="J39" i="20"/>
  <c r="J94" i="20"/>
  <c r="J87" i="20"/>
  <c r="J34" i="20"/>
  <c r="J149" i="20" s="1"/>
  <c r="J48" i="20"/>
  <c r="J54" i="20"/>
  <c r="J47" i="20"/>
  <c r="J98" i="20"/>
  <c r="J51" i="20"/>
  <c r="J85" i="20"/>
  <c r="J86" i="20" s="1"/>
  <c r="J53" i="20"/>
  <c r="J84" i="20"/>
  <c r="J52" i="20"/>
  <c r="J87" i="17"/>
  <c r="J34" i="17"/>
  <c r="J149" i="17" s="1"/>
  <c r="J48" i="17"/>
  <c r="J54" i="17"/>
  <c r="J47" i="17"/>
  <c r="J85" i="17"/>
  <c r="J86" i="17" s="1"/>
  <c r="J53" i="17"/>
  <c r="J39" i="17"/>
  <c r="J84" i="17"/>
  <c r="J52" i="17"/>
  <c r="J94" i="17"/>
  <c r="J49" i="17"/>
  <c r="J98" i="17"/>
  <c r="J51" i="17"/>
  <c r="J50" i="17"/>
  <c r="J40" i="17"/>
  <c r="J30" i="10"/>
  <c r="J29" i="10"/>
  <c r="I141" i="10"/>
  <c r="J119" i="10"/>
  <c r="J121" i="10" s="1"/>
  <c r="J152" i="10" s="1"/>
  <c r="J65" i="10"/>
  <c r="J62" i="10"/>
  <c r="J58" i="10"/>
  <c r="I48" i="10"/>
  <c r="I54" i="10" s="1"/>
  <c r="O31" i="10"/>
  <c r="O32" i="10" s="1"/>
  <c r="P31" i="10" s="1"/>
  <c r="O28" i="10"/>
  <c r="O29" i="10" s="1"/>
  <c r="P28" i="10" s="1"/>
  <c r="J28" i="10"/>
  <c r="J58" i="9"/>
  <c r="J30" i="9"/>
  <c r="J29" i="9"/>
  <c r="J78" i="24" l="1"/>
  <c r="J41" i="20"/>
  <c r="J42" i="20" s="1"/>
  <c r="J43" i="20" s="1"/>
  <c r="J75" i="20" s="1"/>
  <c r="J41" i="25"/>
  <c r="J42" i="25" s="1"/>
  <c r="J43" i="25" s="1"/>
  <c r="J75" i="25" s="1"/>
  <c r="J55" i="25"/>
  <c r="J76" i="25" s="1"/>
  <c r="J82" i="25"/>
  <c r="J91" i="25"/>
  <c r="I98" i="25" s="1"/>
  <c r="J150" i="24"/>
  <c r="J97" i="24"/>
  <c r="I97" i="24" s="1"/>
  <c r="J99" i="24"/>
  <c r="I99" i="24" s="1"/>
  <c r="J96" i="24"/>
  <c r="I96" i="24" s="1"/>
  <c r="J95" i="24"/>
  <c r="I98" i="24"/>
  <c r="J83" i="24"/>
  <c r="I83" i="24" s="1"/>
  <c r="J41" i="23"/>
  <c r="J42" i="23" s="1"/>
  <c r="J43" i="23" s="1"/>
  <c r="J75" i="23" s="1"/>
  <c r="J91" i="23"/>
  <c r="I98" i="23" s="1"/>
  <c r="J82" i="23"/>
  <c r="J55" i="23"/>
  <c r="J76" i="23" s="1"/>
  <c r="J41" i="21"/>
  <c r="J91" i="21"/>
  <c r="J55" i="21"/>
  <c r="J76" i="21" s="1"/>
  <c r="J82" i="21"/>
  <c r="J55" i="20"/>
  <c r="J76" i="20" s="1"/>
  <c r="J82" i="20"/>
  <c r="J91" i="20"/>
  <c r="J91" i="17"/>
  <c r="I98" i="17" s="1"/>
  <c r="J55" i="17"/>
  <c r="J76" i="17" s="1"/>
  <c r="J41" i="17"/>
  <c r="J82" i="17"/>
  <c r="J33" i="10"/>
  <c r="J148" i="10" s="1"/>
  <c r="J70" i="10"/>
  <c r="J76" i="10" s="1"/>
  <c r="J83" i="10"/>
  <c r="J49" i="10"/>
  <c r="J50" i="10"/>
  <c r="M32" i="10"/>
  <c r="S28" i="10"/>
  <c r="N32" i="10"/>
  <c r="J106" i="10"/>
  <c r="J107" i="10" s="1"/>
  <c r="J112" i="10" s="1"/>
  <c r="L58" i="10"/>
  <c r="J78" i="25" l="1"/>
  <c r="J51" i="10"/>
  <c r="J38" i="10"/>
  <c r="J86" i="10"/>
  <c r="J39" i="10"/>
  <c r="J78" i="23"/>
  <c r="J150" i="23" s="1"/>
  <c r="J97" i="25"/>
  <c r="I97" i="25" s="1"/>
  <c r="J96" i="25"/>
  <c r="I96" i="25" s="1"/>
  <c r="J99" i="25"/>
  <c r="I99" i="25" s="1"/>
  <c r="J95" i="25"/>
  <c r="J83" i="25"/>
  <c r="I83" i="25" s="1"/>
  <c r="J150" i="25"/>
  <c r="J88" i="24"/>
  <c r="J151" i="24" s="1"/>
  <c r="I95" i="24"/>
  <c r="J100" i="24"/>
  <c r="J97" i="23"/>
  <c r="I97" i="23" s="1"/>
  <c r="J96" i="23"/>
  <c r="I96" i="23" s="1"/>
  <c r="J95" i="23"/>
  <c r="J99" i="23"/>
  <c r="I99" i="23" s="1"/>
  <c r="J83" i="23"/>
  <c r="I83" i="23" s="1"/>
  <c r="J78" i="20"/>
  <c r="J150" i="20" s="1"/>
  <c r="J83" i="21"/>
  <c r="I83" i="21" s="1"/>
  <c r="J42" i="21"/>
  <c r="J43" i="21" s="1"/>
  <c r="J75" i="21" s="1"/>
  <c r="J78" i="21" s="1"/>
  <c r="J97" i="21"/>
  <c r="I97" i="21" s="1"/>
  <c r="J96" i="21"/>
  <c r="I96" i="21" s="1"/>
  <c r="J99" i="21"/>
  <c r="I99" i="21" s="1"/>
  <c r="J95" i="21"/>
  <c r="I98" i="21"/>
  <c r="J83" i="20"/>
  <c r="I83" i="20" s="1"/>
  <c r="J97" i="20"/>
  <c r="I97" i="20" s="1"/>
  <c r="J96" i="20"/>
  <c r="I96" i="20" s="1"/>
  <c r="J99" i="20"/>
  <c r="I99" i="20" s="1"/>
  <c r="J95" i="20"/>
  <c r="I98" i="20"/>
  <c r="J42" i="17"/>
  <c r="J43" i="17" s="1"/>
  <c r="J75" i="17" s="1"/>
  <c r="J78" i="17" s="1"/>
  <c r="J83" i="17"/>
  <c r="I83" i="17" s="1"/>
  <c r="J95" i="17"/>
  <c r="J96" i="17"/>
  <c r="I96" i="17" s="1"/>
  <c r="J99" i="17"/>
  <c r="I99" i="17" s="1"/>
  <c r="J97" i="17"/>
  <c r="I97" i="17" s="1"/>
  <c r="J84" i="10"/>
  <c r="J85" i="10" s="1"/>
  <c r="J47" i="10"/>
  <c r="J53" i="10"/>
  <c r="J93" i="10"/>
  <c r="J90" i="10" s="1"/>
  <c r="J46" i="10"/>
  <c r="J52" i="10"/>
  <c r="J48" i="10"/>
  <c r="M33" i="10"/>
  <c r="J40" i="10"/>
  <c r="J81" i="10"/>
  <c r="J99" i="10"/>
  <c r="P33" i="10"/>
  <c r="J54" i="10" l="1"/>
  <c r="J75" i="10" s="1"/>
  <c r="J88" i="25"/>
  <c r="I95" i="25"/>
  <c r="J100" i="25"/>
  <c r="J101" i="24"/>
  <c r="J102" i="24" s="1"/>
  <c r="J112" i="24" s="1"/>
  <c r="J114" i="24" s="1"/>
  <c r="I95" i="23"/>
  <c r="J100" i="23"/>
  <c r="J88" i="23"/>
  <c r="J150" i="21"/>
  <c r="I95" i="21"/>
  <c r="J100" i="21"/>
  <c r="J88" i="21"/>
  <c r="J151" i="21" s="1"/>
  <c r="J88" i="20"/>
  <c r="I95" i="20"/>
  <c r="J100" i="20"/>
  <c r="J150" i="17"/>
  <c r="I95" i="17"/>
  <c r="J100" i="17"/>
  <c r="J88" i="17"/>
  <c r="J151" i="17" s="1"/>
  <c r="J100" i="10"/>
  <c r="J101" i="10" s="1"/>
  <c r="J111" i="10" s="1"/>
  <c r="J113" i="10" s="1"/>
  <c r="J151" i="10" s="1"/>
  <c r="J82" i="10"/>
  <c r="J87" i="10" s="1"/>
  <c r="J150" i="10" s="1"/>
  <c r="J41" i="10"/>
  <c r="J42" i="10" s="1"/>
  <c r="J74" i="10" s="1"/>
  <c r="J77" i="10" s="1"/>
  <c r="J101" i="25" l="1"/>
  <c r="J102" i="25" s="1"/>
  <c r="J112" i="25" s="1"/>
  <c r="J114" i="25" s="1"/>
  <c r="J151" i="25"/>
  <c r="J152" i="24"/>
  <c r="J154" i="24" s="1"/>
  <c r="J126" i="24"/>
  <c r="J127" i="24" s="1"/>
  <c r="J101" i="23"/>
  <c r="J102" i="23" s="1"/>
  <c r="J112" i="23" s="1"/>
  <c r="J114" i="23" s="1"/>
  <c r="J151" i="23"/>
  <c r="J101" i="21"/>
  <c r="J102" i="21" s="1"/>
  <c r="J112" i="21" s="1"/>
  <c r="J114" i="21" s="1"/>
  <c r="J101" i="20"/>
  <c r="J102" i="20" s="1"/>
  <c r="J112" i="20" s="1"/>
  <c r="J114" i="20" s="1"/>
  <c r="J152" i="20" s="1"/>
  <c r="J151" i="20"/>
  <c r="J101" i="17"/>
  <c r="J102" i="17" s="1"/>
  <c r="J112" i="17" s="1"/>
  <c r="J114" i="17" s="1"/>
  <c r="J149" i="10"/>
  <c r="J153" i="10" s="1"/>
  <c r="J125" i="10"/>
  <c r="J126" i="10" s="1"/>
  <c r="J127" i="10" s="1"/>
  <c r="J128" i="10" s="1"/>
  <c r="L128" i="10" s="1"/>
  <c r="J152" i="25" l="1"/>
  <c r="J154" i="25" s="1"/>
  <c r="J126" i="25"/>
  <c r="J127" i="25" s="1"/>
  <c r="J128" i="24"/>
  <c r="J129" i="24" s="1"/>
  <c r="J152" i="23"/>
  <c r="J154" i="23" s="1"/>
  <c r="J126" i="23"/>
  <c r="J127" i="23" s="1"/>
  <c r="J128" i="23" s="1"/>
  <c r="J129" i="23" s="1"/>
  <c r="J152" i="21"/>
  <c r="J154" i="21" s="1"/>
  <c r="J126" i="21"/>
  <c r="J127" i="21" s="1"/>
  <c r="J126" i="20"/>
  <c r="J127" i="20" s="1"/>
  <c r="J128" i="20" s="1"/>
  <c r="J129" i="20" s="1"/>
  <c r="J130" i="20" s="1"/>
  <c r="J154" i="20"/>
  <c r="J152" i="17"/>
  <c r="J154" i="17" s="1"/>
  <c r="J126" i="17"/>
  <c r="J127" i="17" s="1"/>
  <c r="L126" i="10"/>
  <c r="J129" i="10"/>
  <c r="J128" i="25" l="1"/>
  <c r="J129" i="25" s="1"/>
  <c r="J130" i="24"/>
  <c r="J130" i="23"/>
  <c r="J128" i="21"/>
  <c r="J129" i="21" s="1"/>
  <c r="J139" i="20"/>
  <c r="J134" i="20"/>
  <c r="J133" i="20"/>
  <c r="J128" i="17"/>
  <c r="J129" i="17" s="1"/>
  <c r="J130" i="17" s="1"/>
  <c r="J132" i="10"/>
  <c r="J138" i="10"/>
  <c r="J133" i="10"/>
  <c r="J130" i="25" l="1"/>
  <c r="J133" i="24"/>
  <c r="J139" i="24"/>
  <c r="J134" i="24"/>
  <c r="J139" i="23"/>
  <c r="J133" i="23"/>
  <c r="J134" i="23"/>
  <c r="J140" i="20"/>
  <c r="J155" i="20" s="1"/>
  <c r="J142" i="20"/>
  <c r="J130" i="21"/>
  <c r="J134" i="17"/>
  <c r="J139" i="17"/>
  <c r="J133" i="17"/>
  <c r="J141" i="10"/>
  <c r="J139" i="10"/>
  <c r="J154" i="10" s="1"/>
  <c r="J155" i="10" s="1"/>
  <c r="J156" i="20" l="1"/>
  <c r="I12" i="1" s="1"/>
  <c r="J12" i="1" s="1"/>
  <c r="K12" i="1" s="1"/>
  <c r="J139" i="25"/>
  <c r="J134" i="25"/>
  <c r="J133" i="25"/>
  <c r="J142" i="24"/>
  <c r="J140" i="24"/>
  <c r="J155" i="24" s="1"/>
  <c r="J156" i="24" s="1"/>
  <c r="J142" i="23"/>
  <c r="J140" i="23"/>
  <c r="J155" i="23" s="1"/>
  <c r="J156" i="23" s="1"/>
  <c r="J140" i="17"/>
  <c r="J155" i="17" s="1"/>
  <c r="J156" i="17" s="1"/>
  <c r="I13" i="1" s="1"/>
  <c r="J139" i="21"/>
  <c r="J134" i="21"/>
  <c r="J133" i="21"/>
  <c r="J142" i="17"/>
  <c r="J7" i="1"/>
  <c r="O28" i="9"/>
  <c r="O29" i="9" s="1"/>
  <c r="I9" i="1" l="1"/>
  <c r="G9" i="1"/>
  <c r="I11" i="1"/>
  <c r="J11" i="1" s="1"/>
  <c r="K11" i="1" s="1"/>
  <c r="J15" i="1"/>
  <c r="K15" i="1" s="1"/>
  <c r="J9" i="1"/>
  <c r="K9" i="1" s="1"/>
  <c r="J142" i="25"/>
  <c r="J140" i="25"/>
  <c r="J155" i="25" s="1"/>
  <c r="J156" i="25" s="1"/>
  <c r="J8" i="1"/>
  <c r="J142" i="21"/>
  <c r="J140" i="21"/>
  <c r="J155" i="21" s="1"/>
  <c r="J156" i="21" s="1"/>
  <c r="M32" i="9"/>
  <c r="P28" i="9"/>
  <c r="I141" i="9"/>
  <c r="J119" i="9"/>
  <c r="J121" i="9" s="1"/>
  <c r="J152" i="9" s="1"/>
  <c r="J65" i="9"/>
  <c r="J62" i="9"/>
  <c r="L58" i="9"/>
  <c r="I48" i="9"/>
  <c r="I54" i="9" s="1"/>
  <c r="O31" i="9"/>
  <c r="O32" i="9" s="1"/>
  <c r="P31" i="9" s="1"/>
  <c r="J28" i="9"/>
  <c r="I14" i="1" l="1"/>
  <c r="J14" i="1" s="1"/>
  <c r="K14" i="1" s="1"/>
  <c r="J13" i="1"/>
  <c r="K13" i="1" s="1"/>
  <c r="I10" i="1"/>
  <c r="J10" i="1" s="1"/>
  <c r="K10" i="1" s="1"/>
  <c r="P33" i="9"/>
  <c r="J70" i="9"/>
  <c r="J76" i="9" s="1"/>
  <c r="J33" i="9"/>
  <c r="J86" i="9" s="1"/>
  <c r="S28" i="9"/>
  <c r="N32" i="9"/>
  <c r="M33" i="9" s="1"/>
  <c r="J106" i="9"/>
  <c r="J107" i="9" s="1"/>
  <c r="J112" i="9" s="1"/>
  <c r="J38" i="9" l="1"/>
  <c r="J49" i="9"/>
  <c r="J47" i="9"/>
  <c r="J148" i="9"/>
  <c r="J93" i="9"/>
  <c r="J99" i="9" s="1"/>
  <c r="J51" i="9"/>
  <c r="J83" i="9"/>
  <c r="J53" i="9"/>
  <c r="J46" i="9"/>
  <c r="J39" i="9"/>
  <c r="J81" i="9" s="1"/>
  <c r="J84" i="9"/>
  <c r="J85" i="9" s="1"/>
  <c r="J48" i="9"/>
  <c r="J52" i="9"/>
  <c r="J50" i="9"/>
  <c r="J54" i="9" l="1"/>
  <c r="J75" i="9" s="1"/>
  <c r="J90" i="9"/>
  <c r="J40" i="9"/>
  <c r="J41" i="9" s="1"/>
  <c r="J42" i="9" s="1"/>
  <c r="J74" i="9" s="1"/>
  <c r="J77" i="9" s="1"/>
  <c r="J100" i="9"/>
  <c r="J101" i="9" s="1"/>
  <c r="J111" i="9" s="1"/>
  <c r="J113" i="9" s="1"/>
  <c r="J151" i="9" s="1"/>
  <c r="J82" i="9"/>
  <c r="J87" i="9" s="1"/>
  <c r="J150" i="9" s="1"/>
  <c r="J149" i="9" l="1"/>
  <c r="J153" i="9" s="1"/>
  <c r="J125" i="9"/>
  <c r="J126" i="9" s="1"/>
  <c r="J127" i="9" s="1"/>
  <c r="J128" i="9" s="1"/>
  <c r="L128" i="9" s="1"/>
  <c r="L126" i="9" l="1"/>
  <c r="J129" i="9"/>
  <c r="J138" i="9" l="1"/>
  <c r="J133" i="9"/>
  <c r="J132" i="9"/>
  <c r="J141" i="9" l="1"/>
  <c r="J139" i="9"/>
  <c r="J154" i="9" s="1"/>
  <c r="J155" i="9" s="1"/>
  <c r="F9" i="8" l="1"/>
  <c r="E8" i="8"/>
  <c r="F8" i="8" s="1"/>
  <c r="F7" i="8"/>
  <c r="F6" i="8"/>
  <c r="D5" i="8"/>
  <c r="F5" i="8" s="1"/>
  <c r="D4" i="8"/>
  <c r="E4" i="8" s="1"/>
  <c r="F10" i="8" l="1"/>
  <c r="F4" i="8"/>
  <c r="K8" i="1"/>
  <c r="K7" i="1" l="1"/>
</calcChain>
</file>

<file path=xl/sharedStrings.xml><?xml version="1.0" encoding="utf-8"?>
<sst xmlns="http://schemas.openxmlformats.org/spreadsheetml/2006/main" count="2735" uniqueCount="259">
  <si>
    <r>
      <t xml:space="preserve">PLANILHA DE CUSTOS E FORMAÇÃO DE PREÇOS </t>
    </r>
    <r>
      <rPr>
        <b/>
        <sz val="18"/>
        <color indexed="20"/>
        <rFont val="Arial"/>
        <family val="2"/>
      </rPr>
      <t xml:space="preserve"> </t>
    </r>
  </si>
  <si>
    <t>Nº do processo:</t>
  </si>
  <si>
    <t>Licitação nº:</t>
  </si>
  <si>
    <t>Dia: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</si>
  <si>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</si>
  <si>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</si>
  <si>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</si>
  <si>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</si>
  <si>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</si>
  <si>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Bento Gonçalves</t>
  </si>
  <si>
    <t>C</t>
  </si>
  <si>
    <t>Ano do Acordo, Convenção ou Dissídio Coletivo</t>
  </si>
  <si>
    <t>D</t>
  </si>
  <si>
    <t>Número de meses de execução contratual</t>
  </si>
  <si>
    <t>Tipo de Serviço</t>
  </si>
  <si>
    <t>Unidade de Medida</t>
  </si>
  <si>
    <t>Quantidade total a contratar (em função da unidade de medida)</t>
  </si>
  <si>
    <t>Posto</t>
  </si>
  <si>
    <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</si>
  <si>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</si>
  <si>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</si>
  <si>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</si>
  <si>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</si>
  <si>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</si>
  <si>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>Data-Base da Categoria (dia/mês/ano)</t>
  </si>
  <si>
    <t>Módulo 1: Composição da Remuneração</t>
  </si>
  <si>
    <t xml:space="preserve">Composição da Remuneração </t>
  </si>
  <si>
    <t>Percentual
(R$)</t>
  </si>
  <si>
    <t xml:space="preserve">Valor
(R$) </t>
  </si>
  <si>
    <t>Adicional de Insalubridade</t>
  </si>
  <si>
    <t xml:space="preserve">Adicional Noturno </t>
  </si>
  <si>
    <t>Adicional de Hora Noturna Reduzida</t>
  </si>
  <si>
    <t>E</t>
  </si>
  <si>
    <t xml:space="preserve">Total </t>
  </si>
  <si>
    <t>Módulo 2 – Encargos e Benefícios Anuais, Mensais e Diários</t>
  </si>
  <si>
    <r>
      <t>Submódulo 2.1 – 13º (décimo terceiro) Salário</t>
    </r>
    <r>
      <rPr>
        <b/>
        <sz val="11"/>
        <rFont val="Arial"/>
        <family val="2"/>
      </rPr>
      <t xml:space="preserve"> e Adicional de Férias</t>
    </r>
  </si>
  <si>
    <t>2.1</t>
  </si>
  <si>
    <r>
      <t>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</si>
  <si>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Valor (R$)</t>
  </si>
  <si>
    <t>Total</t>
  </si>
  <si>
    <t>Incidência dos encargos do Submódulo 2.2 sobre o total do Submódulo 2.1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</si>
  <si>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</si>
  <si>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</si>
  <si>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</si>
  <si>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</si>
  <si>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</si>
  <si>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</si>
  <si>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</si>
  <si>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t xml:space="preserve">RAT x FAP
</t>
  </si>
  <si>
    <t>RAT =</t>
  </si>
  <si>
    <t xml:space="preserve"> FAP =</t>
  </si>
  <si>
    <t>SESC ou SESI</t>
  </si>
  <si>
    <t>SENAC ou SENAI</t>
  </si>
  <si>
    <t>F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</si>
  <si>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</si>
  <si>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</si>
  <si>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</si>
  <si>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</si>
  <si>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</si>
  <si>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</si>
  <si>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</si>
  <si>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</si>
  <si>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t xml:space="preserve">Transporte                                              </t>
    </r>
    <r>
      <rPr>
        <b/>
        <sz val="10"/>
        <color indexed="10"/>
        <rFont val="Arial"/>
        <family val="2"/>
      </rPr>
      <t xml:space="preserve"> Cálculo do valor: [(2xVTx21) – (6%xSB)]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</si>
  <si>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</si>
  <si>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</si>
  <si>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empregado:</t>
  </si>
  <si>
    <t xml:space="preserve">      A.3) Quantidade de dias do mês de recebimento de passagens</t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</si>
  <si>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0,18</t>
    </r>
    <r>
      <rPr>
        <b/>
        <sz val="10"/>
        <color indexed="10"/>
        <rFont val="Arial"/>
        <family val="2"/>
      </rPr>
      <t>)]</t>
    </r>
  </si>
  <si>
    <t xml:space="preserve">      B.1) Valor do auxílio-alimentação (clausula 19ª da CCT 2018): </t>
  </si>
  <si>
    <t xml:space="preserve">      B.2) Quantidade de dias do mês de recebimento de auxílio-alimentação</t>
  </si>
  <si>
    <t>Seguro contra riscos de acidente de trabalho</t>
  </si>
  <si>
    <t xml:space="preserve">Plano de Benefício Social Familiar </t>
  </si>
  <si>
    <t>Quadro-Resumo do Módulo 2 – Encargos e Benefícios Anuais, Mensais e Diários</t>
  </si>
  <si>
    <t>Encargos e Benefícios Anuais, Mensais e Diários</t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</si>
  <si>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</si>
  <si>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t>Módulo 3 - Provisão para Rescisão</t>
  </si>
  <si>
    <t>Provisão para Rescisão</t>
  </si>
  <si>
    <t>Valor  (R$)</t>
  </si>
  <si>
    <t>Incidência do FGTS sobre o Aviso Prévio Indenizado</t>
  </si>
  <si>
    <t xml:space="preserve">Incidência dos encargos do Submódulo 2.2 sobre o Aviso Prévio Trabalhado         </t>
  </si>
  <si>
    <t>Módulo 4 - Custo de Reposição do Profissional Ausente</t>
  </si>
  <si>
    <t>Base de cálculo para o Custo de Reposição do Profissional Ausente (substituto): BCCPA = Rem + 13º + Férias + 1/3Férias</t>
  </si>
  <si>
    <t>4.1</t>
  </si>
  <si>
    <t>Substituto nas Ausências Legais</t>
  </si>
  <si>
    <r>
      <t>Subsitituto na cobertura de Férias</t>
    </r>
    <r>
      <rPr>
        <b/>
        <sz val="10"/>
        <color indexed="19"/>
        <rFont val="Arial"/>
        <family val="2"/>
      </rPr>
      <t/>
    </r>
  </si>
  <si>
    <r>
      <t xml:space="preserve">Subsitituto na cobertura de Ausência por acidente de trabalho 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</si>
  <si>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t>Incidência dos encargos do Submódulo 2.2 sobre o  total do Submódulo 4.1</t>
  </si>
  <si>
    <t>Submódulo 4.2 – Subistituto na Intrajornada</t>
  </si>
  <si>
    <t xml:space="preserve">4.2 </t>
  </si>
  <si>
    <t>Substituto na Intrajornada</t>
  </si>
  <si>
    <t>Subsitituto na cobertura de Intervalo para repouso ou alimentação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</si>
  <si>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</si>
  <si>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</si>
  <si>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</si>
  <si>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Ausências Legais</t>
  </si>
  <si>
    <t>4.2</t>
  </si>
  <si>
    <t>Intrajornada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</si>
  <si>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</si>
  <si>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</si>
  <si>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</si>
  <si>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</si>
  <si>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</si>
  <si>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 xml:space="preserve">Outros (especificar) </t>
  </si>
  <si>
    <t>0.00</t>
  </si>
  <si>
    <t>Módulo 6 -  Custos Indiretos, Lucro e Tributos</t>
  </si>
  <si>
    <t xml:space="preserve">Custos Indiretos, Lucro e Tributos </t>
  </si>
  <si>
    <t>Valor
(R$)</t>
  </si>
  <si>
    <t>BASE DE CÁLCULO DOS CUSTOS INDIRETOS</t>
  </si>
  <si>
    <t>Custos Indiretos</t>
  </si>
  <si>
    <t>BASE DE CÁLCULO DO LUCRO</t>
  </si>
  <si>
    <t>Lucro</t>
  </si>
  <si>
    <t>BASE DE CÁLCULO DOS TRIBUTOS</t>
  </si>
  <si>
    <t>Tributos</t>
  </si>
  <si>
    <t>C.1    Tributos Federais (especificar)</t>
  </si>
  <si>
    <t xml:space="preserve"> c) IRPJ</t>
  </si>
  <si>
    <t xml:space="preserve"> d) CSLL</t>
  </si>
  <si>
    <t>C.2   Tributos Estaduais (especificar)</t>
  </si>
  <si>
    <t>C.3   Tributos Municipais (especificar):</t>
  </si>
  <si>
    <t xml:space="preserve">  a) ISS           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</si>
  <si>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</si>
  <si>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</si>
  <si>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</si>
  <si>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</si>
  <si>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</si>
  <si>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</si>
  <si>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</si>
  <si>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</si>
  <si>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</si>
  <si>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</si>
  <si>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</si>
  <si>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</si>
  <si>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</si>
  <si>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</si>
  <si>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r>
      <t xml:space="preserve">Auxílio-Refeição </t>
    </r>
    <r>
      <rPr>
        <b/>
        <sz val="10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0,19</t>
    </r>
    <r>
      <rPr>
        <b/>
        <sz val="10"/>
        <color indexed="10"/>
        <rFont val="Arial"/>
        <family val="2"/>
      </rPr>
      <t>)]</t>
    </r>
  </si>
  <si>
    <t xml:space="preserve">      C.2) Quantidade de dias do mês de recebimento de auxílio-alimentação</t>
  </si>
  <si>
    <t>Total da Remuneração que o empregado irá receber</t>
  </si>
  <si>
    <t>Total da Remuneração para incidir INSS + FGTS + 13º + férias, etc.</t>
  </si>
  <si>
    <t xml:space="preserve">      B.1) Valor do auxílio-alimentação :</t>
  </si>
  <si>
    <t xml:space="preserve">      B.2) Quantidade de dias do mês de recebimento de auxílio-refeição</t>
  </si>
  <si>
    <r>
      <t xml:space="preserve">Auxílio-Alimentação </t>
    </r>
    <r>
      <rPr>
        <b/>
        <sz val="10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0,19</t>
    </r>
    <r>
      <rPr>
        <b/>
        <sz val="10"/>
        <color indexed="10"/>
        <rFont val="Arial"/>
        <family val="2"/>
      </rPr>
      <t>)]</t>
    </r>
  </si>
  <si>
    <t xml:space="preserve">      C.1) Valor do auxílio-alimentação: </t>
  </si>
  <si>
    <t>Item</t>
  </si>
  <si>
    <t>Especificação</t>
  </si>
  <si>
    <t>Unid.</t>
  </si>
  <si>
    <t>Quantidade de Cargos</t>
  </si>
  <si>
    <t>Preço Unit. (mensal) R$</t>
  </si>
  <si>
    <t>Preço Total (mensal) - R$</t>
  </si>
  <si>
    <t>Preço Total (anual) - R$</t>
  </si>
  <si>
    <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3,76% sobre o valor do Módulo 1 – Composição da Remuneração, conforme Anexo XII da IN Seges nº 5/2017 (3,76%+0,24% = 4,0%)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</si>
  <si>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conforme Anexo XII da IN Seges nº 5/2017 (0,24% + 3,76% = 4,0%)</t>
    </r>
  </si>
  <si>
    <t>ESPECIFICAÇÃO</t>
  </si>
  <si>
    <t>Relogio ponto</t>
  </si>
  <si>
    <t>Quantidade</t>
  </si>
  <si>
    <t>Valor unitario</t>
  </si>
  <si>
    <t>valor total</t>
  </si>
  <si>
    <t>valor dividido por 60 meses e 35 postos</t>
  </si>
  <si>
    <t>escritorio</t>
  </si>
  <si>
    <t>valor mensal / por 35 postos</t>
  </si>
  <si>
    <t>provisão de agua</t>
  </si>
  <si>
    <t>provisão de luz</t>
  </si>
  <si>
    <t>móveis e utensilios</t>
  </si>
  <si>
    <t>TOTAL</t>
  </si>
  <si>
    <t>Demais despesas mensais administrativas</t>
  </si>
  <si>
    <t>DETALHAMENTO CUSTOS INDIRETOS</t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</si>
  <si>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19"/>
        <rFont val="Arial"/>
        <family val="2"/>
      </rPr>
      <t xml:space="preserve"> </t>
    </r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</si>
  <si>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</si>
  <si>
    <r>
      <t xml:space="preserve">Subsitituto na cobertura de Ausências Legais    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/30)x1dias]/12</t>
    </r>
  </si>
  <si>
    <r>
      <t xml:space="preserve">Subsitituto na cobertura de Licença-Paternidade  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</si>
  <si>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Subsitituto na cobertura de Afastamento Maternidade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</si>
  <si>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r>
      <t xml:space="preserve">Subsitituto na cobertura de Ausência por doença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</si>
  <si>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r>
      <t xml:space="preserve">Aviso Prévio Indenizado                                                            </t>
    </r>
    <r>
      <rPr>
        <b/>
        <sz val="10"/>
        <color rgb="FFFF0000"/>
        <rFont val="Arial"/>
        <family val="2"/>
      </rPr>
      <t>ARRED(((TOT. REM./12)+(13º SAL./12)+(TOT. REM./12/12)+(1/3 FER. /12))*(30/30)*0,0042;2)</t>
    </r>
  </si>
  <si>
    <r>
      <t xml:space="preserve">Aviso Prévio Trabalhado                                                            </t>
    </r>
    <r>
      <rPr>
        <b/>
        <sz val="10"/>
        <color rgb="FFFF0000"/>
        <rFont val="Arial"/>
        <family val="2"/>
      </rPr>
      <t xml:space="preserve">ARRED((((TOT. REM./30)*7)/VIG. CONT.)*0,1;2) - </t>
    </r>
  </si>
  <si>
    <t>135/2018</t>
  </si>
  <si>
    <t>Janeiro de 2019 SINDASSEIO/CAXIAS DO SUL</t>
  </si>
  <si>
    <t>Limpeza - 40 horas semanais</t>
  </si>
  <si>
    <r>
      <t xml:space="preserve">Salário-Base   </t>
    </r>
    <r>
      <rPr>
        <b/>
        <sz val="10"/>
        <color indexed="10"/>
        <rFont val="Arial"/>
        <family val="2"/>
      </rPr>
      <t xml:space="preserve">   (valor para somente 1 Aux. limpeza - 40h/semana) 
</t>
    </r>
    <r>
      <rPr>
        <b/>
        <sz val="10"/>
        <rFont val="Arial"/>
        <family val="2"/>
      </rPr>
      <t xml:space="preserve">         </t>
    </r>
  </si>
  <si>
    <t>HORA NORMAL</t>
  </si>
  <si>
    <t>H/E 50%</t>
  </si>
  <si>
    <t>VALOR TOTAL 2 H/E 50%</t>
  </si>
  <si>
    <t>VALOR TOTAL DO DIA 6 HORAS EXTRAS</t>
  </si>
  <si>
    <t>H/E 100%</t>
  </si>
  <si>
    <t>VALOR TOTAL 2 H/E 100%</t>
  </si>
  <si>
    <t>MAIS MEIA HORA</t>
  </si>
  <si>
    <t>INTRAJORNADA</t>
  </si>
  <si>
    <t>DSR HORA EXTRA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</si>
  <si>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</si>
  <si>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3,025% sobre o valor do Módulo 1 – Composição da Remuneração, conforme Anexo XII da IN 5/17 (Férias + Adicional = 9,075% + 3,025% = 12,10%)</t>
    </r>
  </si>
  <si>
    <t>SESC ou SESI - MP 932</t>
  </si>
  <si>
    <t>SENAC ou SENAI - MP 932</t>
  </si>
  <si>
    <r>
      <rPr>
        <b/>
        <sz val="10"/>
        <rFont val="Arial"/>
        <family val="2"/>
      </rPr>
      <t>Auxílio-Refeição/Alimentação</t>
    </r>
    <r>
      <rPr>
        <b/>
        <sz val="10"/>
        <color indexed="10"/>
        <rFont val="Arial"/>
        <family val="2"/>
      </rPr>
      <t xml:space="preserve"> Cálculo do valor = [(4xVA)x(1-0,18)]</t>
    </r>
  </si>
  <si>
    <t xml:space="preserve">C.1) Valor do auxílio-alimentação (clausula 19ª da CCT 2018): </t>
  </si>
  <si>
    <t xml:space="preserve"> C.2) Quantidade de dias do mês de recebimento de auxílio-alimentação</t>
  </si>
  <si>
    <t>Plano de Benefício Social Familiar</t>
  </si>
  <si>
    <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</si>
  <si>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conforme Anexo XII da IN Seges nº 5/2017 (0,24% + 4,76% = 5,0%)</t>
    </r>
  </si>
  <si>
    <r>
      <t xml:space="preserve">Aviso Prévio Trabalhado                 (negociar extinção/redução na 1ª prorrogação)
</t>
    </r>
    <r>
      <rPr>
        <b/>
        <sz val="10"/>
        <color indexed="10"/>
        <rFont val="Arial"/>
        <family val="2"/>
      </rPr>
      <t>Cálculo do valor= [(Rem/30)x7]/12 meses do contratox90% dos empregados - ao final do contrato</t>
    </r>
  </si>
  <si>
    <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Anexo XII da IN Seges nº 5/2017 (4,76%+0,24% = 5,0%)</t>
    </r>
  </si>
  <si>
    <r>
      <t xml:space="preserve">Subsitituto na cobertura de Ausências Legais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</si>
  <si>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Subsitituto na cobertura de Licença-Paternidade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</si>
  <si>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Subsitituto na cobertura de Afastamento Maternidade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</si>
  <si>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r>
      <t xml:space="preserve">Subsitituto na cobertura de Ausência por doença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</si>
  <si>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r>
      <t xml:space="preserve">  a) Cofins  </t>
    </r>
    <r>
      <rPr>
        <sz val="10"/>
        <color indexed="10"/>
        <rFont val="Arial"/>
        <family val="2"/>
      </rPr>
      <t>Lucro Presumido</t>
    </r>
  </si>
  <si>
    <r>
      <t xml:space="preserve">  b) PIS </t>
    </r>
    <r>
      <rPr>
        <sz val="10"/>
        <color indexed="10"/>
        <rFont val="Arial"/>
        <family val="2"/>
      </rPr>
      <t>Lucro Presumido</t>
    </r>
  </si>
  <si>
    <t xml:space="preserve">  a) ISS         </t>
  </si>
  <si>
    <t>Auxiliar adm</t>
  </si>
  <si>
    <t>MARISA DE FÁTIMA RAMPAZZO</t>
  </si>
  <si>
    <t>LUANA RIBEIRO DA SILVA</t>
  </si>
  <si>
    <r>
      <t>Salário-Base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 xml:space="preserve">         </t>
    </r>
  </si>
  <si>
    <r>
      <t xml:space="preserve">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</si>
  <si>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Adicional Noturno -</t>
  </si>
  <si>
    <t>Serviço</t>
  </si>
  <si>
    <t>5162-15</t>
  </si>
  <si>
    <r>
      <t xml:space="preserve">Intervalo Intrajornada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(Será concedido o intervalo)</t>
    </r>
  </si>
  <si>
    <r>
      <t xml:space="preserve">Uniformes - </t>
    </r>
    <r>
      <rPr>
        <b/>
        <sz val="8"/>
        <rFont val="Arial"/>
        <family val="2"/>
      </rPr>
      <t xml:space="preserve"> 16. OBRIGAÇÕES DA CONTRATADA- ''alínea m''</t>
    </r>
  </si>
  <si>
    <t>Serviços</t>
  </si>
  <si>
    <t>Abril/2024 - SENALBA</t>
  </si>
  <si>
    <t>Carga horária</t>
  </si>
  <si>
    <t>TAPEJARA</t>
  </si>
  <si>
    <t xml:space="preserve">1. Razão Social da Empresa: </t>
  </si>
  <si>
    <t xml:space="preserve">2. CNPJ Nº </t>
  </si>
  <si>
    <t>QUADRO RESUMO</t>
  </si>
  <si>
    <t>PLANILHA LUCRO REAL</t>
  </si>
  <si>
    <t>Garantia</t>
  </si>
  <si>
    <t xml:space="preserve">Responsabilidade Técnica </t>
  </si>
  <si>
    <t xml:space="preserve">Salário-Base - </t>
  </si>
  <si>
    <t>Valor hora</t>
  </si>
  <si>
    <r>
      <t xml:space="preserve">Uniformes - </t>
    </r>
    <r>
      <rPr>
        <b/>
        <sz val="8"/>
        <rFont val="Arial"/>
        <family val="2"/>
      </rPr>
      <t xml:space="preserve"> </t>
    </r>
  </si>
  <si>
    <t>Valor hora por Empregado</t>
  </si>
  <si>
    <t xml:space="preserve">Sindicato da Categoria: </t>
  </si>
  <si>
    <t>Terapeuta ocupacional-10h/mês</t>
  </si>
  <si>
    <t>Neuropediatra especilista em Austismo-10h/mês</t>
  </si>
  <si>
    <t>Salário Normativo da Categoria Profissional - para a jornada de-10h/mês</t>
  </si>
  <si>
    <t>Salário Normativo da Categoria Profissional - para a jornada de 10 h/mes - Valor em hora</t>
  </si>
  <si>
    <t>Salário Normativo da Categoria Profissional - para a jornada de 20 h/sem</t>
  </si>
  <si>
    <t>Atentende Terapêutico- 40h/semanal</t>
  </si>
  <si>
    <t>Psicóloga Mestre em ABA -20h/semanal</t>
  </si>
  <si>
    <t>Psicomotrocista 20h/semanal</t>
  </si>
  <si>
    <t>Psicopedagogo 20h/semanal</t>
  </si>
  <si>
    <t>Fonodiologo-20h/semanal</t>
  </si>
  <si>
    <t>Salário Normativo da Categoria Profissional - para a jornada de 20h/semanais</t>
  </si>
  <si>
    <t>Salário Normativo da Categoria Profissional - para a jornada de 20h/semanal</t>
  </si>
  <si>
    <t>Salário Normativo da Categoria Profissional - para a jornada de 10 h/semanais</t>
  </si>
  <si>
    <t>Abril 2024</t>
  </si>
  <si>
    <t>Salário Normativo da Categoria Profissional - para a jornada de 20 h/semana</t>
  </si>
  <si>
    <t>Salário Normativo da Categoria Profissional - para a jornada de 40 h/semana</t>
  </si>
  <si>
    <t>ABRIL 2024</t>
  </si>
  <si>
    <r>
      <t>Alimentador do sistema -</t>
    </r>
    <r>
      <rPr>
        <sz val="11"/>
        <color theme="1"/>
        <rFont val="Calibri"/>
        <family val="2"/>
        <scheme val="minor"/>
      </rPr>
      <t>10h/semana</t>
    </r>
  </si>
  <si>
    <t>Neuropsicodagogo -10h/semana</t>
  </si>
  <si>
    <t>Neuropediatra especialista em autismo 10h mês</t>
  </si>
  <si>
    <t>Salário Normativo da Categoria Profissional - para a jornada de 10 h/semana - Valor em hora</t>
  </si>
  <si>
    <t>Terapeuta ocupacional 10h mês</t>
  </si>
  <si>
    <t>Carga horária Semana</t>
  </si>
  <si>
    <t>Fonoaudiologo 20 h semanais</t>
  </si>
  <si>
    <t>Psicopedagogo 20h semanais</t>
  </si>
  <si>
    <t>Psicomotrocista 20h semanais</t>
  </si>
  <si>
    <t>Atendente Terapêutico 40h semanais</t>
  </si>
  <si>
    <t>Psicóloga Mestre em ABA 20h semanais</t>
  </si>
  <si>
    <t>Alimentador do sistema 10h semanais</t>
  </si>
  <si>
    <t>Neuropsicopedagogo 10h semanais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</si>
</sst>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&quot;R$&quot;\ #,##0.00"/>
    <numFmt numFmtId="165" formatCode="&quot;R$&quot;#,##0.00"/>
    <numFmt numFmtId="166" formatCode="0.000%"/>
    <numFmt numFmtId="167" formatCode="0.0000"/>
    <numFmt numFmtId="168" formatCode="0.0000%"/>
    <numFmt numFmtId="169" formatCode="&quot;R$ &quot;#,##0.00"/>
    <numFmt numFmtId="170" formatCode="_-[$$-409]* #,##0.00_ ;_-[$$-409]* \-#,##0.00\ ;_-[$$-409]* &quot;-&quot;??_ ;_-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b/>
      <sz val="17"/>
      <color rgb="FF800080"/>
      <name val="Arial"/>
      <family val="2"/>
    </font>
    <font>
      <b/>
      <sz val="18"/>
      <name val="Arial"/>
      <family val="2"/>
    </font>
    <font>
      <b/>
      <sz val="18"/>
      <color indexed="2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trike/>
      <sz val="10"/>
      <color indexed="19"/>
      <name val="Arial"/>
      <family val="2"/>
    </font>
    <font>
      <b/>
      <sz val="10"/>
      <name val="Arial"/>
      <family val="2"/>
      <charset val="1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7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EBEE6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BEE6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" fontId="11" fillId="4" borderId="5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4" fontId="3" fillId="4" borderId="5" xfId="0" applyNumberFormat="1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3" fillId="4" borderId="5" xfId="0" applyNumberFormat="1" applyFont="1" applyFill="1" applyBorder="1" applyAlignment="1">
      <alignment horizontal="right" vertical="center"/>
    </xf>
    <xf numFmtId="169" fontId="21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169" fontId="21" fillId="3" borderId="5" xfId="0" applyNumberFormat="1" applyFont="1" applyFill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 wrapText="1"/>
    </xf>
    <xf numFmtId="0" fontId="24" fillId="0" borderId="5" xfId="0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right" vertical="center" wrapText="1"/>
    </xf>
    <xf numFmtId="2" fontId="24" fillId="4" borderId="5" xfId="0" applyNumberFormat="1" applyFont="1" applyFill="1" applyBorder="1" applyAlignment="1">
      <alignment horizontal="right" vertical="center" wrapText="1"/>
    </xf>
    <xf numFmtId="10" fontId="22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/>
    </xf>
    <xf numFmtId="4" fontId="24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center"/>
    </xf>
    <xf numFmtId="4" fontId="3" fillId="4" borderId="5" xfId="0" applyNumberFormat="1" applyFont="1" applyFill="1" applyBorder="1" applyAlignment="1">
      <alignment horizontal="right"/>
    </xf>
    <xf numFmtId="4" fontId="11" fillId="4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right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4" fontId="0" fillId="0" borderId="0" xfId="1" applyFont="1"/>
    <xf numFmtId="44" fontId="21" fillId="3" borderId="5" xfId="1" applyFont="1" applyFill="1" applyBorder="1" applyAlignment="1">
      <alignment vertical="center"/>
    </xf>
    <xf numFmtId="0" fontId="4" fillId="0" borderId="0" xfId="0" applyFont="1"/>
    <xf numFmtId="4" fontId="11" fillId="6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0" fillId="0" borderId="1" xfId="1" applyFont="1" applyBorder="1"/>
    <xf numFmtId="44" fontId="0" fillId="0" borderId="1" xfId="0" applyNumberFormat="1" applyBorder="1"/>
    <xf numFmtId="44" fontId="2" fillId="0" borderId="1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wrapText="1"/>
    </xf>
    <xf numFmtId="0" fontId="28" fillId="0" borderId="0" xfId="0" applyFont="1"/>
    <xf numFmtId="0" fontId="29" fillId="0" borderId="0" xfId="2" applyFont="1" applyAlignment="1">
      <alignment vertical="center"/>
    </xf>
    <xf numFmtId="44" fontId="28" fillId="0" borderId="0" xfId="1" applyFont="1"/>
    <xf numFmtId="164" fontId="28" fillId="0" borderId="0" xfId="0" applyNumberFormat="1" applyFont="1"/>
    <xf numFmtId="0" fontId="30" fillId="0" borderId="0" xfId="0" applyFont="1"/>
    <xf numFmtId="166" fontId="3" fillId="0" borderId="5" xfId="3" applyNumberFormat="1" applyFont="1" applyFill="1" applyBorder="1" applyAlignment="1">
      <alignment horizontal="center" vertical="center" wrapText="1"/>
    </xf>
    <xf numFmtId="166" fontId="31" fillId="0" borderId="5" xfId="3" applyNumberFormat="1" applyFont="1" applyFill="1" applyBorder="1" applyAlignment="1">
      <alignment horizontal="center" vertical="center" wrapText="1"/>
    </xf>
    <xf numFmtId="44" fontId="30" fillId="0" borderId="0" xfId="1" applyFont="1"/>
    <xf numFmtId="168" fontId="31" fillId="0" borderId="5" xfId="0" applyNumberFormat="1" applyFont="1" applyBorder="1" applyAlignment="1">
      <alignment horizontal="center" vertical="center" wrapText="1"/>
    </xf>
    <xf numFmtId="166" fontId="0" fillId="0" borderId="0" xfId="3" applyNumberFormat="1" applyFont="1"/>
    <xf numFmtId="166" fontId="19" fillId="0" borderId="5" xfId="3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 wrapText="1"/>
    </xf>
    <xf numFmtId="9" fontId="3" fillId="3" borderId="5" xfId="0" applyNumberFormat="1" applyFont="1" applyFill="1" applyBorder="1" applyAlignment="1">
      <alignment horizontal="left" vertical="center" wrapText="1"/>
    </xf>
    <xf numFmtId="167" fontId="3" fillId="3" borderId="5" xfId="0" applyNumberFormat="1" applyFont="1" applyFill="1" applyBorder="1" applyAlignment="1">
      <alignment horizontal="left" vertical="center" wrapText="1"/>
    </xf>
    <xf numFmtId="168" fontId="3" fillId="3" borderId="5" xfId="0" applyNumberFormat="1" applyFont="1" applyFill="1" applyBorder="1" applyAlignment="1">
      <alignment horizontal="right" vertical="center"/>
    </xf>
    <xf numFmtId="0" fontId="11" fillId="7" borderId="13" xfId="0" applyFont="1" applyFill="1" applyBorder="1" applyAlignment="1">
      <alignment horizontal="center" vertical="center" wrapText="1"/>
    </xf>
    <xf numFmtId="4" fontId="25" fillId="7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4" fillId="0" borderId="0" xfId="1" applyFont="1"/>
    <xf numFmtId="44" fontId="0" fillId="0" borderId="0" xfId="0" applyNumberFormat="1"/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4" fillId="0" borderId="0" xfId="0" applyNumberFormat="1" applyFont="1"/>
    <xf numFmtId="44" fontId="30" fillId="0" borderId="0" xfId="0" applyNumberFormat="1" applyFont="1"/>
    <xf numFmtId="4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3" fillId="0" borderId="5" xfId="0" applyNumberFormat="1" applyFont="1" applyBorder="1" applyAlignment="1">
      <alignment horizontal="right" wrapText="1"/>
    </xf>
    <xf numFmtId="4" fontId="24" fillId="0" borderId="5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wrapText="1"/>
    </xf>
    <xf numFmtId="4" fontId="3" fillId="2" borderId="5" xfId="0" applyNumberFormat="1" applyFont="1" applyFill="1" applyBorder="1" applyAlignment="1">
      <alignment vertical="center"/>
    </xf>
    <xf numFmtId="10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9" fontId="3" fillId="2" borderId="5" xfId="0" applyNumberFormat="1" applyFont="1" applyFill="1" applyBorder="1" applyAlignment="1">
      <alignment horizontal="left" vertical="center" wrapText="1"/>
    </xf>
    <xf numFmtId="167" fontId="3" fillId="2" borderId="5" xfId="0" applyNumberFormat="1" applyFont="1" applyFill="1" applyBorder="1" applyAlignment="1">
      <alignment horizontal="left" vertical="center" wrapText="1"/>
    </xf>
    <xf numFmtId="168" fontId="3" fillId="2" borderId="5" xfId="0" applyNumberFormat="1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center" vertical="center"/>
    </xf>
    <xf numFmtId="169" fontId="21" fillId="2" borderId="5" xfId="0" applyNumberFormat="1" applyFont="1" applyFill="1" applyBorder="1" applyAlignment="1">
      <alignment vertical="center"/>
    </xf>
    <xf numFmtId="0" fontId="32" fillId="0" borderId="0" xfId="0" applyFont="1"/>
    <xf numFmtId="0" fontId="32" fillId="2" borderId="0" xfId="0" applyFont="1" applyFill="1"/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7" fillId="0" borderId="0" xfId="0" applyFont="1"/>
    <xf numFmtId="170" fontId="28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165" fontId="34" fillId="0" borderId="5" xfId="0" applyNumberFormat="1" applyFont="1" applyBorder="1" applyAlignment="1">
      <alignment horizontal="right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1" fontId="15" fillId="0" borderId="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 wrapText="1"/>
    </xf>
    <xf numFmtId="0" fontId="11" fillId="7" borderId="14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center" wrapText="1"/>
    </xf>
    <xf numFmtId="0" fontId="24" fillId="4" borderId="5" xfId="0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left" vertical="center"/>
    </xf>
    <xf numFmtId="165" fontId="15" fillId="0" borderId="5" xfId="0" applyNumberFormat="1" applyFont="1" applyBorder="1" applyAlignment="1">
      <alignment horizontal="right"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</cellXfs>
  <cellStyles count="4">
    <cellStyle name="Moeda" xfId="1" builtinId="4"/>
    <cellStyle name="Normal" xfId="0" builtinId="0"/>
    <cellStyle name="Normal 2" xfId="2"/>
    <cellStyle name="Porcentagem" xfId="3" builtinId="5"/>
  </cellStyles>
  <dxfs count="0"/>
  <tableStyles count="0" defaultTableStyle="TableStyleMedium9" defaultPivotStyle="PivotStyleLight16"/>
  <colors>
    <mruColors>
      <color rgb="FFEBEE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3_Pregao%2029%202018%20Servico%20de%20recepcionista%20e%20demais%20cargos%20DEMAR.zip/Planilha%20de%20custos%20Vers&#227;o%20Final%20em%20branco%20Anexo%20I%20do%20termo%20de%20refer&#234;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dineiro(a)"/>
      <sheetName val="Aux. Manut. Predial"/>
      <sheetName val="Copeiro(a)"/>
      <sheetName val="Telefonista"/>
      <sheetName val="Recepcionista"/>
      <sheetName val="Porteiro(a) 12x36 D"/>
      <sheetName val="Pedreiro(a)"/>
      <sheetName val="Eletricista"/>
      <sheetName val="RESUMO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4">
          <cell r="F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1"/>
  <sheetViews>
    <sheetView tabSelected="1" view="pageBreakPreview" zoomScaleSheetLayoutView="100" workbookViewId="0">
      <selection activeCell="G8" sqref="G8"/>
    </sheetView>
  </sheetViews>
  <sheetFormatPr defaultRowHeight="15" x14ac:dyDescent="0.25"/>
  <cols>
    <col min="5" max="5" width="21" customWidth="1"/>
    <col min="7" max="7" width="12.140625" bestFit="1" customWidth="1"/>
    <col min="8" max="8" width="13.140625" customWidth="1"/>
    <col min="9" max="9" width="24" customWidth="1"/>
    <col min="10" max="10" width="15.28515625" customWidth="1"/>
    <col min="11" max="11" width="16" customWidth="1"/>
  </cols>
  <sheetData>
    <row r="2" spans="1:12" s="2" customFormat="1" ht="61.9" customHeight="1" x14ac:dyDescent="0.25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s="2" customFormat="1" ht="12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2" customFormat="1" ht="12.75" x14ac:dyDescent="0.25">
      <c r="A4" s="141" t="s">
        <v>218</v>
      </c>
      <c r="B4" s="142"/>
      <c r="C4" s="142"/>
      <c r="D4" s="142"/>
      <c r="E4" s="142"/>
      <c r="F4" s="142"/>
      <c r="G4" s="142"/>
      <c r="H4" s="142"/>
      <c r="I4" s="141" t="s">
        <v>219</v>
      </c>
      <c r="J4" s="142"/>
      <c r="K4" s="142"/>
    </row>
    <row r="6" spans="1:12" s="60" customFormat="1" ht="30" x14ac:dyDescent="0.25">
      <c r="A6" s="61" t="s">
        <v>141</v>
      </c>
      <c r="B6" s="145" t="s">
        <v>142</v>
      </c>
      <c r="C6" s="145"/>
      <c r="D6" s="145"/>
      <c r="E6" s="145"/>
      <c r="F6" s="61" t="s">
        <v>143</v>
      </c>
      <c r="G6" s="62" t="s">
        <v>225</v>
      </c>
      <c r="H6" s="62" t="s">
        <v>144</v>
      </c>
      <c r="I6" s="62" t="s">
        <v>145</v>
      </c>
      <c r="J6" s="62" t="s">
        <v>146</v>
      </c>
      <c r="K6" s="62" t="s">
        <v>147</v>
      </c>
    </row>
    <row r="7" spans="1:12" x14ac:dyDescent="0.25">
      <c r="A7" s="63">
        <v>1</v>
      </c>
      <c r="B7" s="138" t="s">
        <v>229</v>
      </c>
      <c r="C7" s="138"/>
      <c r="D7" s="138"/>
      <c r="E7" s="138"/>
      <c r="F7" s="64" t="s">
        <v>214</v>
      </c>
      <c r="G7" s="66">
        <f>'1- Terapeuta ocupacional- 2'!J157</f>
        <v>718.41800000000001</v>
      </c>
      <c r="H7" s="64">
        <v>1</v>
      </c>
      <c r="I7" s="66">
        <f>G7*10</f>
        <v>7184.18</v>
      </c>
      <c r="J7" s="66">
        <f>I7*H7</f>
        <v>7184.18</v>
      </c>
      <c r="K7" s="66">
        <f>J7*12</f>
        <v>86210.16</v>
      </c>
    </row>
    <row r="8" spans="1:12" x14ac:dyDescent="0.25">
      <c r="A8" s="63">
        <v>2</v>
      </c>
      <c r="B8" s="138" t="s">
        <v>230</v>
      </c>
      <c r="C8" s="138"/>
      <c r="D8" s="138"/>
      <c r="E8" s="138"/>
      <c r="F8" s="64" t="s">
        <v>214</v>
      </c>
      <c r="G8" s="66">
        <f>'2- Neuropediatra ES. Autismo'!J157</f>
        <v>1116.8709999999999</v>
      </c>
      <c r="H8" s="64">
        <v>1</v>
      </c>
      <c r="I8" s="66">
        <f>G8*10</f>
        <v>11168.71</v>
      </c>
      <c r="J8" s="66">
        <f t="shared" ref="J8:J13" si="0">I8*H8</f>
        <v>11168.71</v>
      </c>
      <c r="K8" s="66">
        <f>J8*12</f>
        <v>134024.51999999999</v>
      </c>
    </row>
    <row r="9" spans="1:12" x14ac:dyDescent="0.25">
      <c r="A9" s="63">
        <v>3</v>
      </c>
      <c r="B9" s="138" t="s">
        <v>247</v>
      </c>
      <c r="C9" s="138"/>
      <c r="D9" s="138"/>
      <c r="E9" s="138"/>
      <c r="F9" s="64" t="s">
        <v>214</v>
      </c>
      <c r="G9" s="66">
        <f>'3- Neuropsicopedagogo'!J157</f>
        <v>223.37419999999997</v>
      </c>
      <c r="H9" s="64">
        <v>1</v>
      </c>
      <c r="I9" s="66">
        <f>'3- Neuropsicopedagogo'!J156</f>
        <v>11168.71</v>
      </c>
      <c r="J9" s="66">
        <f t="shared" si="0"/>
        <v>11168.71</v>
      </c>
      <c r="K9" s="66">
        <f t="shared" ref="K9:K13" si="1">J9*12</f>
        <v>134024.51999999999</v>
      </c>
    </row>
    <row r="10" spans="1:12" x14ac:dyDescent="0.25">
      <c r="A10" s="63">
        <v>4</v>
      </c>
      <c r="B10" s="250" t="s">
        <v>246</v>
      </c>
      <c r="C10" s="250"/>
      <c r="D10" s="250"/>
      <c r="E10" s="250"/>
      <c r="F10" s="64" t="s">
        <v>214</v>
      </c>
      <c r="G10" s="66">
        <f>'4- Alimentadorde-sistema '!J157</f>
        <v>137.78360000000001</v>
      </c>
      <c r="H10" s="64">
        <v>1</v>
      </c>
      <c r="I10" s="66">
        <f>'4- Alimentadorde-sistema '!J156</f>
        <v>6889.18</v>
      </c>
      <c r="J10" s="66">
        <f t="shared" si="0"/>
        <v>6889.18</v>
      </c>
      <c r="K10" s="66">
        <f t="shared" si="1"/>
        <v>82670.16</v>
      </c>
      <c r="L10" s="123"/>
    </row>
    <row r="11" spans="1:12" ht="13.9" customHeight="1" x14ac:dyDescent="0.25">
      <c r="A11" s="130">
        <v>5</v>
      </c>
      <c r="B11" s="138" t="s">
        <v>235</v>
      </c>
      <c r="C11" s="138"/>
      <c r="D11" s="138"/>
      <c r="E11" s="138"/>
      <c r="F11" s="64" t="s">
        <v>214</v>
      </c>
      <c r="G11" s="66">
        <f>'5- Psicologa'!J157</f>
        <v>153.79640000000001</v>
      </c>
      <c r="H11" s="64">
        <v>1</v>
      </c>
      <c r="I11" s="66">
        <f>'5- Psicologa'!J156</f>
        <v>15379.64</v>
      </c>
      <c r="J11" s="66">
        <f t="shared" ref="J11" si="2">I11*H11</f>
        <v>15379.64</v>
      </c>
      <c r="K11" s="66">
        <f t="shared" ref="K11" si="3">J11*12</f>
        <v>184555.68</v>
      </c>
      <c r="L11" s="123"/>
    </row>
    <row r="12" spans="1:12" x14ac:dyDescent="0.25">
      <c r="A12" s="63">
        <v>6</v>
      </c>
      <c r="B12" s="138" t="s">
        <v>234</v>
      </c>
      <c r="C12" s="138"/>
      <c r="D12" s="138"/>
      <c r="E12" s="138"/>
      <c r="F12" s="64" t="s">
        <v>214</v>
      </c>
      <c r="G12" s="66">
        <f>'6- Atendente Terapêutico'!J157</f>
        <v>51.858999999999995</v>
      </c>
      <c r="H12" s="64">
        <v>6</v>
      </c>
      <c r="I12" s="66">
        <f>'6- Atendente Terapêutico'!J156</f>
        <v>10371.799999999999</v>
      </c>
      <c r="J12" s="66">
        <f t="shared" si="0"/>
        <v>62230.799999999996</v>
      </c>
      <c r="K12" s="66">
        <f t="shared" si="1"/>
        <v>746769.6</v>
      </c>
      <c r="L12" s="123"/>
    </row>
    <row r="13" spans="1:12" x14ac:dyDescent="0.25">
      <c r="A13" s="63">
        <v>7</v>
      </c>
      <c r="B13" s="138" t="s">
        <v>236</v>
      </c>
      <c r="C13" s="138"/>
      <c r="D13" s="138"/>
      <c r="E13" s="138"/>
      <c r="F13" s="64" t="s">
        <v>214</v>
      </c>
      <c r="G13" s="66">
        <f>'7- Psicomotrocista'!J157</f>
        <v>149.76650000000001</v>
      </c>
      <c r="H13" s="64">
        <v>1</v>
      </c>
      <c r="I13" s="66">
        <f>'7- Psicomotrocista'!J156</f>
        <v>14976.65</v>
      </c>
      <c r="J13" s="66">
        <f t="shared" si="0"/>
        <v>14976.65</v>
      </c>
      <c r="K13" s="66">
        <f t="shared" si="1"/>
        <v>179719.8</v>
      </c>
      <c r="L13" s="123"/>
    </row>
    <row r="14" spans="1:12" x14ac:dyDescent="0.25">
      <c r="A14" s="130">
        <v>8</v>
      </c>
      <c r="B14" s="138" t="s">
        <v>237</v>
      </c>
      <c r="C14" s="138"/>
      <c r="D14" s="138"/>
      <c r="E14" s="138"/>
      <c r="F14" s="64" t="s">
        <v>214</v>
      </c>
      <c r="G14" s="66">
        <f>'8- Psicopedagogo'!J157</f>
        <v>82.729799999999997</v>
      </c>
      <c r="H14" s="64">
        <v>1</v>
      </c>
      <c r="I14" s="66">
        <f>'8- Psicopedagogo'!J156</f>
        <v>8272.98</v>
      </c>
      <c r="J14" s="66">
        <f t="shared" ref="J14:J15" si="4">I14*H14</f>
        <v>8272.98</v>
      </c>
      <c r="K14" s="66">
        <f t="shared" ref="K14:K15" si="5">J14*12</f>
        <v>99275.76</v>
      </c>
      <c r="L14" s="123"/>
    </row>
    <row r="15" spans="1:12" ht="16.899999999999999" customHeight="1" x14ac:dyDescent="0.25">
      <c r="A15" s="130">
        <v>9</v>
      </c>
      <c r="B15" s="138" t="s">
        <v>238</v>
      </c>
      <c r="C15" s="138"/>
      <c r="D15" s="138"/>
      <c r="E15" s="138"/>
      <c r="F15" s="64" t="s">
        <v>214</v>
      </c>
      <c r="G15" s="66">
        <f>'9- fonodiologo'!J157</f>
        <v>106.7243</v>
      </c>
      <c r="H15" s="64">
        <v>1</v>
      </c>
      <c r="I15" s="66">
        <f>'9- fonodiologo'!J156</f>
        <v>10672.43</v>
      </c>
      <c r="J15" s="66">
        <f t="shared" si="4"/>
        <v>10672.43</v>
      </c>
      <c r="K15" s="66">
        <f t="shared" si="5"/>
        <v>128069.16</v>
      </c>
      <c r="L15" s="123"/>
    </row>
    <row r="16" spans="1:12" ht="33.75" customHeight="1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56"/>
      <c r="L16" s="123"/>
    </row>
    <row r="17" spans="1:12" x14ac:dyDescent="0.25">
      <c r="A17" t="s">
        <v>228</v>
      </c>
      <c r="L17" s="123"/>
    </row>
    <row r="18" spans="1:12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96"/>
      <c r="L18" s="123"/>
    </row>
    <row r="19" spans="1:12" ht="24.6" customHeight="1" x14ac:dyDescent="0.2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23"/>
    </row>
    <row r="20" spans="1:12" ht="24.6" customHeight="1" x14ac:dyDescent="0.25"/>
    <row r="21" spans="1:12" ht="24.6" customHeight="1" x14ac:dyDescent="0.25"/>
  </sheetData>
  <mergeCells count="16">
    <mergeCell ref="B14:E14"/>
    <mergeCell ref="B15:E15"/>
    <mergeCell ref="B19:K19"/>
    <mergeCell ref="A2:K2"/>
    <mergeCell ref="A4:H4"/>
    <mergeCell ref="A18:J18"/>
    <mergeCell ref="A16:J16"/>
    <mergeCell ref="I4:K4"/>
    <mergeCell ref="B9:E9"/>
    <mergeCell ref="B8:E8"/>
    <mergeCell ref="B7:E7"/>
    <mergeCell ref="B6:E6"/>
    <mergeCell ref="B10:E10"/>
    <mergeCell ref="B12:E12"/>
    <mergeCell ref="B13:E13"/>
    <mergeCell ref="B11:E11"/>
  </mergeCells>
  <pageMargins left="0.511811024" right="0.511811024" top="0.78740157499999996" bottom="0.78740157499999996" header="0.31496062000000002" footer="0.31496062000000002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9"/>
  <sheetViews>
    <sheetView view="pageBreakPreview" zoomScale="85" zoomScaleNormal="85" zoomScaleSheetLayoutView="85" workbookViewId="0">
      <selection activeCell="E14" sqref="E14:G14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132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132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132" t="s">
        <v>10</v>
      </c>
      <c r="B11" s="155" t="s">
        <v>11</v>
      </c>
      <c r="C11" s="155"/>
      <c r="D11" s="155"/>
      <c r="E11" s="155"/>
      <c r="F11" s="155"/>
      <c r="G11" s="155"/>
      <c r="H11" s="249" t="s">
        <v>242</v>
      </c>
      <c r="I11" s="249"/>
      <c r="J11" s="249"/>
    </row>
    <row r="12" spans="1:25" ht="15" customHeight="1" x14ac:dyDescent="0.25">
      <c r="A12" s="132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252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132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Fonoaudiologo 20 h semanais</v>
      </c>
      <c r="I19" s="166"/>
      <c r="J19" s="166"/>
    </row>
    <row r="20" spans="1:14" ht="15" customHeight="1" x14ac:dyDescent="0.25">
      <c r="A20" s="132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132">
        <v>3</v>
      </c>
      <c r="B21" s="155" t="s">
        <v>239</v>
      </c>
      <c r="C21" s="155"/>
      <c r="D21" s="155"/>
      <c r="E21" s="155"/>
      <c r="F21" s="155"/>
      <c r="G21" s="155"/>
      <c r="H21" s="167">
        <v>2492.98</v>
      </c>
      <c r="I21" s="167"/>
      <c r="J21" s="167"/>
    </row>
    <row r="22" spans="1:14" ht="15" customHeight="1" x14ac:dyDescent="0.25">
      <c r="A22" s="132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Fonoaudiologo 20 h semanais</v>
      </c>
      <c r="I22" s="166"/>
      <c r="J22" s="166"/>
    </row>
    <row r="23" spans="1:14" ht="15" customHeight="1" x14ac:dyDescent="0.25">
      <c r="A23" s="132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132">
        <v>6</v>
      </c>
      <c r="B24" s="155" t="s">
        <v>251</v>
      </c>
      <c r="C24" s="155"/>
      <c r="D24" s="155"/>
      <c r="E24" s="155"/>
      <c r="F24" s="155"/>
      <c r="G24" s="155"/>
      <c r="H24" s="184">
        <v>100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133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133" t="s">
        <v>28</v>
      </c>
    </row>
    <row r="27" spans="1:14" ht="15" customHeight="1" x14ac:dyDescent="0.25">
      <c r="A27" s="132" t="s">
        <v>5</v>
      </c>
      <c r="B27" s="175" t="s">
        <v>207</v>
      </c>
      <c r="C27" s="175"/>
      <c r="D27" s="175"/>
      <c r="E27" s="175"/>
      <c r="F27" s="175"/>
      <c r="G27" s="175"/>
      <c r="H27" s="175"/>
      <c r="I27" s="175"/>
      <c r="J27" s="114">
        <f>H21</f>
        <v>2492.98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2492.98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2492.98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31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207.67</v>
      </c>
    </row>
    <row r="40" spans="1:10" ht="15" customHeight="1" x14ac:dyDescent="0.25">
      <c r="A40" s="131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69.3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276.96999999999997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101.92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378.89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134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133" t="s">
        <v>44</v>
      </c>
      <c r="J46" s="133" t="s">
        <v>45</v>
      </c>
    </row>
    <row r="47" spans="1:10" x14ac:dyDescent="0.25">
      <c r="A47" s="131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498.6</v>
      </c>
    </row>
    <row r="48" spans="1:10" x14ac:dyDescent="0.25">
      <c r="A48" s="131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62.32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74.790000000000006</v>
      </c>
    </row>
    <row r="50" spans="1:10" x14ac:dyDescent="0.25">
      <c r="A50" s="131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37.39</v>
      </c>
    </row>
    <row r="51" spans="1:10" x14ac:dyDescent="0.25">
      <c r="A51" s="131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24.93</v>
      </c>
    </row>
    <row r="52" spans="1:10" x14ac:dyDescent="0.25">
      <c r="A52" s="131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14.96</v>
      </c>
    </row>
    <row r="53" spans="1:10" x14ac:dyDescent="0.25">
      <c r="A53" s="131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4.99</v>
      </c>
    </row>
    <row r="54" spans="1:10" x14ac:dyDescent="0.25">
      <c r="A54" s="131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199.44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917.42000000000007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134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133" t="s">
        <v>38</v>
      </c>
    </row>
    <row r="59" spans="1:10" ht="22.15" customHeight="1" x14ac:dyDescent="0.25">
      <c r="A59" s="104" t="s">
        <v>5</v>
      </c>
      <c r="B59" s="227" t="s">
        <v>62</v>
      </c>
      <c r="C59" s="227"/>
      <c r="D59" s="227"/>
      <c r="E59" s="227"/>
      <c r="F59" s="227"/>
      <c r="G59" s="227"/>
      <c r="H59" s="227"/>
      <c r="I59" s="227"/>
      <c r="J59" s="106">
        <f>(I60*2*22)</f>
        <v>220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31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135"/>
    </row>
    <row r="62" spans="1:10" x14ac:dyDescent="0.25">
      <c r="A62" s="131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135"/>
    </row>
    <row r="63" spans="1:10" x14ac:dyDescent="0.25">
      <c r="A63" s="131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416.77</v>
      </c>
    </row>
    <row r="64" spans="1:10" ht="28.5" customHeight="1" x14ac:dyDescent="0.25">
      <c r="A64" s="131"/>
      <c r="B64" s="209" t="s">
        <v>137</v>
      </c>
      <c r="C64" s="209"/>
      <c r="D64" s="209"/>
      <c r="E64" s="209"/>
      <c r="F64" s="209"/>
      <c r="G64" s="209"/>
      <c r="H64" s="209"/>
      <c r="I64" s="122">
        <v>23.68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31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31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31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636.77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133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133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378.89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917.42000000000007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636.77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1933.08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134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134" t="s">
        <v>77</v>
      </c>
      <c r="K81" s="83"/>
    </row>
    <row r="82" spans="1:11" ht="39" customHeight="1" x14ac:dyDescent="0.25">
      <c r="A82" s="131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1.04</v>
      </c>
      <c r="K82"/>
    </row>
    <row r="83" spans="1:11" ht="15" customHeight="1" x14ac:dyDescent="0.25">
      <c r="A83" s="131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4.0112314480545531E-4</v>
      </c>
      <c r="J83" s="23">
        <f>ROUND($J$82*I54,2)</f>
        <v>0.08</v>
      </c>
    </row>
    <row r="84" spans="1:11" ht="50.25" customHeight="1" x14ac:dyDescent="0.25">
      <c r="A84" s="131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5.98</v>
      </c>
    </row>
    <row r="85" spans="1:11" ht="26.25" customHeight="1" x14ac:dyDescent="0.25">
      <c r="A85" s="131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4.8499999999999996</v>
      </c>
    </row>
    <row r="86" spans="1:11" ht="28.5" customHeight="1" x14ac:dyDescent="0.25">
      <c r="A86" s="131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1.78</v>
      </c>
    </row>
    <row r="87" spans="1:11" ht="26.25" customHeight="1" x14ac:dyDescent="0.25">
      <c r="A87" s="131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93.74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107.47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2977.6200000000003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207.67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2.7773859659728233E-3</v>
      </c>
      <c r="J95" s="8">
        <f>ROUND((($J$91/30)*1)/12,2)</f>
        <v>8.27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2.0821998777547165E-4</v>
      </c>
      <c r="J96" s="8">
        <f>ROUND((($J$91/30)*5)/12*0.015,2)</f>
        <v>0.62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3.25763529261625E-4</v>
      </c>
      <c r="J97" s="23">
        <f>ROUND(((($J$91/30)*15)/12)*0.0078,2)</f>
        <v>0.97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6.2130157642681068E-4</v>
      </c>
      <c r="J98" s="40">
        <f>ROUND(((($J$31+$J$31/3)*4/12)/12)*0.02,2)</f>
        <v>1.85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1.3890288216763722E-2</v>
      </c>
      <c r="J99" s="23">
        <f>ROUND(((($J$91/30)*5)/12),2)</f>
        <v>41.36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260.74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95.95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356.69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134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31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133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132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356.69</v>
      </c>
    </row>
    <row r="113" spans="1:15" ht="15" customHeight="1" x14ac:dyDescent="0.25">
      <c r="A113" s="132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356.69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134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134" t="s">
        <v>38</v>
      </c>
    </row>
    <row r="118" spans="1:15" x14ac:dyDescent="0.25">
      <c r="A118" s="131" t="s">
        <v>5</v>
      </c>
      <c r="B118" s="200" t="s">
        <v>226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31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31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800</v>
      </c>
    </row>
    <row r="121" spans="1:15" x14ac:dyDescent="0.25">
      <c r="A121" s="131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100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1250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134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133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6140.2199999999993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0.23</v>
      </c>
      <c r="J127" s="23">
        <f>ROUND(I127*J126,2)</f>
        <v>1412.25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7552.4699999999993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0.24</v>
      </c>
      <c r="J129" s="23">
        <f>ROUND(I129*J128,2)</f>
        <v>1812.59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9365.06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135" t="s">
        <v>64</v>
      </c>
    </row>
    <row r="132" spans="1:15" x14ac:dyDescent="0.25">
      <c r="A132" s="131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135" t="s">
        <v>64</v>
      </c>
    </row>
    <row r="133" spans="1:15" x14ac:dyDescent="0.25">
      <c r="A133" s="131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811.1</v>
      </c>
    </row>
    <row r="134" spans="1:15" x14ac:dyDescent="0.25">
      <c r="A134" s="131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176.1</v>
      </c>
    </row>
    <row r="135" spans="1:15" x14ac:dyDescent="0.25">
      <c r="A135" s="131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135" t="s">
        <v>64</v>
      </c>
    </row>
    <row r="136" spans="1:15" x14ac:dyDescent="0.25">
      <c r="A136" s="131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135" t="s">
        <v>64</v>
      </c>
    </row>
    <row r="137" spans="1:15" x14ac:dyDescent="0.25">
      <c r="A137" s="131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135" t="s">
        <v>64</v>
      </c>
    </row>
    <row r="138" spans="1:15" ht="15" customHeight="1" x14ac:dyDescent="0.25">
      <c r="A138" s="131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135" t="s">
        <v>64</v>
      </c>
    </row>
    <row r="139" spans="1:15" x14ac:dyDescent="0.25">
      <c r="A139" s="131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320.17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4532.21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1307.3700000000001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2492.98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1933.08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107.47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356.69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1250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6140.2199999999993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4532.21</v>
      </c>
    </row>
    <row r="156" spans="1:11" ht="17.45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10672.43</v>
      </c>
    </row>
    <row r="157" spans="1:11" ht="17.45" customHeight="1" x14ac:dyDescent="0.25">
      <c r="A157" s="224" t="s">
        <v>227</v>
      </c>
      <c r="B157" s="224"/>
      <c r="C157" s="224"/>
      <c r="D157" s="224"/>
      <c r="E157" s="224"/>
      <c r="F157" s="224"/>
      <c r="G157" s="224"/>
      <c r="H157" s="224"/>
      <c r="I157" s="224"/>
      <c r="J157" s="45">
        <f>J156/100</f>
        <v>106.7243</v>
      </c>
      <c r="K157" s="136"/>
    </row>
    <row r="159" spans="1:11" x14ac:dyDescent="0.25">
      <c r="J159" s="56"/>
    </row>
  </sheetData>
  <mergeCells count="173">
    <mergeCell ref="B152:I152"/>
    <mergeCell ref="B153:I153"/>
    <mergeCell ref="A154:I154"/>
    <mergeCell ref="B155:I155"/>
    <mergeCell ref="A156:I156"/>
    <mergeCell ref="A157:I157"/>
    <mergeCell ref="A146:J146"/>
    <mergeCell ref="A147:J147"/>
    <mergeCell ref="A148:I148"/>
    <mergeCell ref="B149:I149"/>
    <mergeCell ref="B150:I150"/>
    <mergeCell ref="B151:I15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:F10"/>
    </sheetView>
  </sheetViews>
  <sheetFormatPr defaultRowHeight="15" x14ac:dyDescent="0.25"/>
  <cols>
    <col min="1" max="1" width="23.5703125" customWidth="1"/>
    <col min="2" max="2" width="10.42578125" bestFit="1" customWidth="1"/>
    <col min="3" max="3" width="12.140625" bestFit="1" customWidth="1"/>
    <col min="4" max="4" width="12.85546875" bestFit="1" customWidth="1"/>
    <col min="5" max="5" width="20.5703125" customWidth="1"/>
    <col min="6" max="6" width="16.7109375" customWidth="1"/>
  </cols>
  <sheetData>
    <row r="1" spans="1:6" x14ac:dyDescent="0.25">
      <c r="A1" s="139" t="s">
        <v>163</v>
      </c>
      <c r="B1" s="139"/>
      <c r="C1" s="139"/>
      <c r="D1" s="139"/>
      <c r="E1" s="139"/>
      <c r="F1" s="139"/>
    </row>
    <row r="3" spans="1:6" ht="38.450000000000003" customHeight="1" x14ac:dyDescent="0.25">
      <c r="A3" s="67" t="s">
        <v>150</v>
      </c>
      <c r="B3" s="67" t="s">
        <v>152</v>
      </c>
      <c r="C3" s="67" t="s">
        <v>153</v>
      </c>
      <c r="D3" s="67" t="s">
        <v>154</v>
      </c>
      <c r="E3" s="68" t="s">
        <v>155</v>
      </c>
      <c r="F3" s="68" t="s">
        <v>157</v>
      </c>
    </row>
    <row r="4" spans="1:6" x14ac:dyDescent="0.25">
      <c r="A4" s="65" t="s">
        <v>151</v>
      </c>
      <c r="B4" s="65">
        <v>25</v>
      </c>
      <c r="C4" s="65">
        <v>1425</v>
      </c>
      <c r="D4" s="69">
        <f>C4*B4</f>
        <v>35625</v>
      </c>
      <c r="E4" s="70">
        <f>D4/60/35</f>
        <v>16.964285714285715</v>
      </c>
      <c r="F4" s="75">
        <f>E4</f>
        <v>16.964285714285715</v>
      </c>
    </row>
    <row r="5" spans="1:6" x14ac:dyDescent="0.25">
      <c r="A5" s="65" t="s">
        <v>156</v>
      </c>
      <c r="B5" s="65">
        <v>1</v>
      </c>
      <c r="C5" s="65">
        <v>800</v>
      </c>
      <c r="D5" s="65">
        <f>C5</f>
        <v>800</v>
      </c>
      <c r="E5" s="65"/>
      <c r="F5" s="69">
        <f>D5/35</f>
        <v>22.857142857142858</v>
      </c>
    </row>
    <row r="6" spans="1:6" x14ac:dyDescent="0.25">
      <c r="A6" s="65" t="s">
        <v>158</v>
      </c>
      <c r="B6" s="65">
        <v>1</v>
      </c>
      <c r="C6" s="65">
        <v>100</v>
      </c>
      <c r="D6" s="65">
        <v>100</v>
      </c>
      <c r="E6" s="65"/>
      <c r="F6" s="69">
        <f>D6/35</f>
        <v>2.8571428571428572</v>
      </c>
    </row>
    <row r="7" spans="1:6" x14ac:dyDescent="0.25">
      <c r="A7" s="65" t="s">
        <v>159</v>
      </c>
      <c r="B7" s="65">
        <v>1</v>
      </c>
      <c r="C7" s="65">
        <v>300</v>
      </c>
      <c r="D7" s="65">
        <v>300</v>
      </c>
      <c r="E7" s="65"/>
      <c r="F7" s="69">
        <f>D7/35</f>
        <v>8.5714285714285712</v>
      </c>
    </row>
    <row r="8" spans="1:6" x14ac:dyDescent="0.25">
      <c r="A8" s="65" t="s">
        <v>160</v>
      </c>
      <c r="B8" s="65">
        <v>1</v>
      </c>
      <c r="C8" s="65">
        <v>2000</v>
      </c>
      <c r="D8" s="65">
        <v>2000</v>
      </c>
      <c r="E8" s="69">
        <f>D8/60/35</f>
        <v>0.95238095238095244</v>
      </c>
      <c r="F8" s="70">
        <f>E8</f>
        <v>0.95238095238095244</v>
      </c>
    </row>
    <row r="9" spans="1:6" ht="34.15" customHeight="1" x14ac:dyDescent="0.25">
      <c r="A9" s="72" t="s">
        <v>162</v>
      </c>
      <c r="B9" s="73">
        <v>1</v>
      </c>
      <c r="C9" s="73">
        <v>900</v>
      </c>
      <c r="D9" s="73">
        <v>900</v>
      </c>
      <c r="E9" s="73"/>
      <c r="F9" s="74">
        <f>D9/35</f>
        <v>25.714285714285715</v>
      </c>
    </row>
    <row r="10" spans="1:6" x14ac:dyDescent="0.25">
      <c r="A10" s="228" t="s">
        <v>161</v>
      </c>
      <c r="B10" s="228"/>
      <c r="C10" s="228"/>
      <c r="D10" s="228"/>
      <c r="E10" s="228"/>
      <c r="F10" s="71">
        <f>E4+F5+F6+F7+E8+F9</f>
        <v>77.916666666666657</v>
      </c>
    </row>
  </sheetData>
  <mergeCells count="2">
    <mergeCell ref="A10:E10"/>
    <mergeCell ref="A1:F1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7"/>
  <sheetViews>
    <sheetView topLeftCell="A139" workbookViewId="0">
      <selection activeCell="I64" sqref="I64"/>
    </sheetView>
  </sheetViews>
  <sheetFormatPr defaultRowHeight="15" x14ac:dyDescent="0.25"/>
  <cols>
    <col min="7" max="7" width="7.7109375" customWidth="1"/>
    <col min="8" max="8" width="11.28515625" customWidth="1"/>
    <col min="9" max="9" width="15.7109375" customWidth="1"/>
    <col min="10" max="10" width="15.42578125" customWidth="1"/>
    <col min="13" max="13" width="13.5703125" bestFit="1" customWidth="1"/>
    <col min="15" max="15" width="10.7109375" customWidth="1"/>
    <col min="16" max="16" width="23.42578125" bestFit="1" customWidth="1"/>
    <col min="17" max="17" width="5.140625" customWidth="1"/>
    <col min="18" max="18" width="2.140625" customWidth="1"/>
    <col min="19" max="19" width="16.5703125" bestFit="1" customWidth="1"/>
  </cols>
  <sheetData>
    <row r="2" spans="1:25" ht="90.75" customHeight="1" x14ac:dyDescent="0.25">
      <c r="A2" s="242" t="s">
        <v>205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25" ht="8.25" customHeight="1" x14ac:dyDescent="0.25">
      <c r="A3" s="245"/>
      <c r="B3" s="246"/>
      <c r="C3" s="246"/>
      <c r="D3" s="246"/>
      <c r="E3" s="246"/>
      <c r="F3" s="246"/>
      <c r="G3" s="246"/>
      <c r="H3" s="246"/>
      <c r="I3" s="246"/>
      <c r="J3" s="247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4"/>
      <c r="S4" s="4"/>
      <c r="T4" s="4"/>
      <c r="U4" s="4"/>
      <c r="V4" s="4"/>
      <c r="W4" s="4"/>
      <c r="X4" s="4"/>
      <c r="Y4" s="4"/>
    </row>
    <row r="5" spans="1:25" x14ac:dyDescent="0.25">
      <c r="A5" s="153" t="s">
        <v>1</v>
      </c>
      <c r="B5" s="153"/>
      <c r="C5" s="153"/>
      <c r="D5" s="153"/>
      <c r="E5" s="153"/>
      <c r="F5" s="153"/>
      <c r="G5" s="153"/>
      <c r="H5" s="154" t="s">
        <v>172</v>
      </c>
      <c r="I5" s="154"/>
      <c r="J5" s="154"/>
    </row>
    <row r="6" spans="1:25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x14ac:dyDescent="0.25">
      <c r="A9" s="5" t="s">
        <v>5</v>
      </c>
      <c r="B9" s="155" t="s">
        <v>6</v>
      </c>
      <c r="C9" s="155"/>
      <c r="D9" s="155"/>
      <c r="E9" s="155"/>
      <c r="F9" s="155"/>
      <c r="G9" s="155"/>
      <c r="H9" s="163">
        <v>43552</v>
      </c>
      <c r="I9" s="163"/>
      <c r="J9" s="163"/>
    </row>
    <row r="10" spans="1:25" x14ac:dyDescent="0.25">
      <c r="A10" s="5" t="s">
        <v>7</v>
      </c>
      <c r="B10" s="155" t="s">
        <v>8</v>
      </c>
      <c r="C10" s="155"/>
      <c r="D10" s="155"/>
      <c r="E10" s="155"/>
      <c r="F10" s="155"/>
      <c r="G10" s="155"/>
      <c r="H10" s="163" t="s">
        <v>9</v>
      </c>
      <c r="I10" s="163"/>
      <c r="J10" s="163"/>
    </row>
    <row r="11" spans="1:25" ht="28.5" customHeight="1" x14ac:dyDescent="0.25">
      <c r="A11" s="5" t="s">
        <v>10</v>
      </c>
      <c r="B11" s="155" t="s">
        <v>11</v>
      </c>
      <c r="C11" s="155"/>
      <c r="D11" s="155"/>
      <c r="E11" s="155"/>
      <c r="F11" s="155"/>
      <c r="G11" s="155"/>
      <c r="H11" s="163" t="s">
        <v>173</v>
      </c>
      <c r="I11" s="163"/>
      <c r="J11" s="163"/>
    </row>
    <row r="12" spans="1:25" x14ac:dyDescent="0.25">
      <c r="A12" s="5" t="s">
        <v>12</v>
      </c>
      <c r="B12" s="155" t="s">
        <v>13</v>
      </c>
      <c r="C12" s="155"/>
      <c r="D12" s="155"/>
      <c r="E12" s="155"/>
      <c r="F12" s="155"/>
      <c r="G12" s="155"/>
      <c r="H12" s="241">
        <v>12</v>
      </c>
      <c r="I12" s="241"/>
      <c r="J12" s="241"/>
    </row>
    <row r="13" spans="1:25" ht="33.7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x14ac:dyDescent="0.25">
      <c r="A14" s="238" t="s">
        <v>174</v>
      </c>
      <c r="B14" s="239"/>
      <c r="C14" s="239"/>
      <c r="D14" s="240"/>
      <c r="E14" s="160" t="s">
        <v>17</v>
      </c>
      <c r="F14" s="160"/>
      <c r="G14" s="160"/>
      <c r="H14" s="161">
        <v>4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x14ac:dyDescent="0.25">
      <c r="A16" s="174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21" x14ac:dyDescent="0.25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21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21" ht="15" customHeight="1" x14ac:dyDescent="0.25">
      <c r="A19" s="5">
        <v>1</v>
      </c>
      <c r="B19" s="155" t="s">
        <v>20</v>
      </c>
      <c r="C19" s="155"/>
      <c r="D19" s="155"/>
      <c r="E19" s="155"/>
      <c r="F19" s="155"/>
      <c r="G19" s="155"/>
      <c r="H19" s="183" t="s">
        <v>204</v>
      </c>
      <c r="I19" s="183"/>
      <c r="J19" s="183"/>
    </row>
    <row r="20" spans="1:21" ht="15" customHeight="1" x14ac:dyDescent="0.25">
      <c r="A20" s="5">
        <v>2</v>
      </c>
      <c r="B20" s="155" t="s">
        <v>21</v>
      </c>
      <c r="C20" s="155"/>
      <c r="D20" s="155"/>
      <c r="E20" s="155"/>
      <c r="F20" s="155"/>
      <c r="G20" s="155"/>
      <c r="H20" s="183"/>
      <c r="I20" s="183"/>
      <c r="J20" s="183"/>
    </row>
    <row r="21" spans="1:21" ht="15" customHeight="1" x14ac:dyDescent="0.25">
      <c r="A21" s="5">
        <v>3</v>
      </c>
      <c r="B21" s="155" t="s">
        <v>22</v>
      </c>
      <c r="C21" s="155"/>
      <c r="D21" s="155"/>
      <c r="E21" s="155"/>
      <c r="F21" s="155"/>
      <c r="G21" s="155"/>
      <c r="H21" s="237">
        <v>1548.59</v>
      </c>
      <c r="I21" s="237"/>
      <c r="J21" s="237"/>
    </row>
    <row r="22" spans="1:21" ht="15" customHeight="1" x14ac:dyDescent="0.25">
      <c r="A22" s="5">
        <v>4</v>
      </c>
      <c r="B22" s="155" t="s">
        <v>23</v>
      </c>
      <c r="C22" s="155"/>
      <c r="D22" s="155"/>
      <c r="E22" s="155"/>
      <c r="F22" s="155"/>
      <c r="G22" s="155"/>
      <c r="H22" s="183"/>
      <c r="I22" s="183"/>
      <c r="J22" s="183"/>
    </row>
    <row r="23" spans="1:21" ht="15" customHeight="1" x14ac:dyDescent="0.25">
      <c r="A23" s="5">
        <v>5</v>
      </c>
      <c r="B23" s="155" t="s">
        <v>24</v>
      </c>
      <c r="C23" s="155"/>
      <c r="D23" s="155"/>
      <c r="E23" s="155"/>
      <c r="F23" s="155"/>
      <c r="G23" s="155"/>
      <c r="H23" s="182">
        <v>44197</v>
      </c>
      <c r="I23" s="183"/>
      <c r="J23" s="183"/>
    </row>
    <row r="24" spans="1:21" x14ac:dyDescent="0.25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21" ht="19.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21" ht="30" customHeight="1" x14ac:dyDescent="0.25">
      <c r="A26" s="6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6" t="s">
        <v>28</v>
      </c>
    </row>
    <row r="27" spans="1:21" ht="15" customHeight="1" x14ac:dyDescent="0.25">
      <c r="A27" s="5" t="s">
        <v>5</v>
      </c>
      <c r="B27" s="155" t="s">
        <v>175</v>
      </c>
      <c r="C27" s="155"/>
      <c r="D27" s="155"/>
      <c r="E27" s="155"/>
      <c r="F27" s="155"/>
      <c r="G27" s="155"/>
      <c r="H27" s="155"/>
      <c r="I27" s="155"/>
      <c r="J27" s="8">
        <v>207.68</v>
      </c>
      <c r="M27" s="58" t="s">
        <v>176</v>
      </c>
      <c r="N27" s="58"/>
      <c r="O27" s="94" t="s">
        <v>177</v>
      </c>
      <c r="P27" s="94" t="s">
        <v>178</v>
      </c>
      <c r="Q27" s="94"/>
      <c r="S27" s="229" t="s">
        <v>179</v>
      </c>
      <c r="T27" s="229"/>
      <c r="U27" s="229"/>
    </row>
    <row r="28" spans="1:21" ht="15" customHeight="1" x14ac:dyDescent="0.25">
      <c r="A28" s="7" t="s">
        <v>7</v>
      </c>
      <c r="B28" s="179" t="s">
        <v>29</v>
      </c>
      <c r="C28" s="180"/>
      <c r="D28" s="180"/>
      <c r="E28" s="180"/>
      <c r="F28" s="180"/>
      <c r="G28" s="180"/>
      <c r="H28" s="181"/>
      <c r="I28" s="51">
        <v>0</v>
      </c>
      <c r="J28" s="8">
        <f>ROUND(I28*J27,2)</f>
        <v>0</v>
      </c>
      <c r="M28" s="95">
        <v>7.04</v>
      </c>
      <c r="N28" s="58"/>
      <c r="O28" s="96">
        <f>M28*50%</f>
        <v>3.52</v>
      </c>
      <c r="P28" s="97">
        <f>O29*6+O28</f>
        <v>66.88</v>
      </c>
      <c r="Q28" s="98"/>
      <c r="S28" s="97">
        <f>P28+P31</f>
        <v>207.68</v>
      </c>
    </row>
    <row r="29" spans="1:21" ht="15" customHeight="1" x14ac:dyDescent="0.25">
      <c r="A29" s="7" t="s">
        <v>10</v>
      </c>
      <c r="B29" s="179" t="s">
        <v>30</v>
      </c>
      <c r="C29" s="180"/>
      <c r="D29" s="180"/>
      <c r="E29" s="180"/>
      <c r="F29" s="180"/>
      <c r="G29" s="180"/>
      <c r="H29" s="180"/>
      <c r="I29" s="181"/>
      <c r="J29" s="8">
        <f>((H21/220)*20%)*(2*1)</f>
        <v>2.815618181818182</v>
      </c>
      <c r="M29" s="58"/>
      <c r="N29" s="58"/>
      <c r="O29" s="83">
        <f>M28+O28</f>
        <v>10.56</v>
      </c>
      <c r="P29" s="98"/>
      <c r="Q29" s="98"/>
      <c r="S29" s="98"/>
    </row>
    <row r="30" spans="1:21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f>((H21/220)*120%)*(1*1)</f>
        <v>8.4468545454545456</v>
      </c>
      <c r="M30" s="58"/>
      <c r="N30" s="58"/>
      <c r="O30" t="s">
        <v>180</v>
      </c>
      <c r="P30" t="s">
        <v>181</v>
      </c>
      <c r="S30" s="98" t="s">
        <v>182</v>
      </c>
    </row>
    <row r="31" spans="1:21" ht="15" customHeight="1" x14ac:dyDescent="0.25">
      <c r="A31" s="7" t="s">
        <v>32</v>
      </c>
      <c r="B31" s="179" t="s">
        <v>183</v>
      </c>
      <c r="C31" s="180"/>
      <c r="D31" s="180"/>
      <c r="E31" s="180"/>
      <c r="F31" s="180"/>
      <c r="G31" s="180"/>
      <c r="H31" s="180"/>
      <c r="I31" s="181"/>
      <c r="J31" s="8">
        <v>0</v>
      </c>
      <c r="M31" s="58"/>
      <c r="N31" s="58"/>
      <c r="O31" s="96">
        <f>M28*2</f>
        <v>14.08</v>
      </c>
      <c r="P31" s="99">
        <f>O32*10</f>
        <v>140.80000000000001</v>
      </c>
      <c r="Q31" s="99"/>
      <c r="S31" s="98">
        <v>0</v>
      </c>
    </row>
    <row r="32" spans="1:21" ht="15" customHeight="1" x14ac:dyDescent="0.25">
      <c r="A32" s="5" t="s">
        <v>7</v>
      </c>
      <c r="B32" s="155" t="s">
        <v>184</v>
      </c>
      <c r="C32" s="155"/>
      <c r="D32" s="155"/>
      <c r="E32" s="155"/>
      <c r="F32" s="155"/>
      <c r="G32" s="155"/>
      <c r="H32" s="155"/>
      <c r="I32" s="9"/>
      <c r="J32" s="8">
        <v>36.65</v>
      </c>
      <c r="M32" s="100">
        <f>O29</f>
        <v>10.56</v>
      </c>
      <c r="N32" s="100">
        <f>O32</f>
        <v>14.08</v>
      </c>
      <c r="O32" s="101">
        <f>O31</f>
        <v>14.08</v>
      </c>
      <c r="P32" s="99"/>
      <c r="Q32" s="99"/>
      <c r="S32" s="98"/>
    </row>
    <row r="33" spans="1:16" x14ac:dyDescent="0.25">
      <c r="A33" s="192" t="s">
        <v>33</v>
      </c>
      <c r="B33" s="192"/>
      <c r="C33" s="192"/>
      <c r="D33" s="192"/>
      <c r="E33" s="192"/>
      <c r="F33" s="192"/>
      <c r="G33" s="192"/>
      <c r="H33" s="192"/>
      <c r="I33" s="192"/>
      <c r="J33" s="10">
        <f>SUM(J27:J32)</f>
        <v>255.59247272727276</v>
      </c>
      <c r="M33" s="102">
        <f>AVERAGE(M32:N32)</f>
        <v>12.32</v>
      </c>
      <c r="N33" s="103"/>
      <c r="P33" s="96">
        <f>SUM(P31+P28)</f>
        <v>207.68</v>
      </c>
    </row>
    <row r="34" spans="1:16" x14ac:dyDescent="0.25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6" ht="15" customHeight="1" x14ac:dyDescent="0.25">
      <c r="A35" s="203" t="s">
        <v>34</v>
      </c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6" x14ac:dyDescent="0.25">
      <c r="A36" s="188" t="s">
        <v>35</v>
      </c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6" x14ac:dyDescent="0.25">
      <c r="A37" s="11" t="s">
        <v>36</v>
      </c>
      <c r="B37" s="189" t="s">
        <v>37</v>
      </c>
      <c r="C37" s="189"/>
      <c r="D37" s="189"/>
      <c r="E37" s="189"/>
      <c r="F37" s="189"/>
      <c r="G37" s="189"/>
      <c r="H37" s="189"/>
      <c r="I37" s="189"/>
      <c r="J37" s="12" t="s">
        <v>38</v>
      </c>
    </row>
    <row r="38" spans="1:16" ht="15" customHeight="1" x14ac:dyDescent="0.25">
      <c r="A38" s="13" t="s">
        <v>5</v>
      </c>
      <c r="B38" s="155" t="s">
        <v>185</v>
      </c>
      <c r="C38" s="155"/>
      <c r="D38" s="155"/>
      <c r="E38" s="155"/>
      <c r="F38" s="155"/>
      <c r="G38" s="155"/>
      <c r="H38" s="155"/>
      <c r="I38" s="14">
        <v>8.3299999999999999E-2</v>
      </c>
      <c r="J38" s="15">
        <f>ROUND($J$33*I38,2)</f>
        <v>21.29</v>
      </c>
    </row>
    <row r="39" spans="1:16" ht="15" customHeight="1" x14ac:dyDescent="0.25">
      <c r="A39" s="13" t="s">
        <v>7</v>
      </c>
      <c r="B39" s="190" t="s">
        <v>186</v>
      </c>
      <c r="C39" s="190"/>
      <c r="D39" s="190"/>
      <c r="E39" s="190"/>
      <c r="F39" s="190"/>
      <c r="G39" s="190"/>
      <c r="H39" s="190"/>
      <c r="I39" s="16">
        <v>3.0249999999999999E-2</v>
      </c>
      <c r="J39" s="15">
        <f>ROUND($J$33*I39,2)</f>
        <v>7.73</v>
      </c>
    </row>
    <row r="40" spans="1:16" x14ac:dyDescent="0.25">
      <c r="A40" s="191" t="s">
        <v>39</v>
      </c>
      <c r="B40" s="191"/>
      <c r="C40" s="191"/>
      <c r="D40" s="191"/>
      <c r="E40" s="191"/>
      <c r="F40" s="191"/>
      <c r="G40" s="191"/>
      <c r="H40" s="191"/>
      <c r="I40" s="191"/>
      <c r="J40" s="17">
        <f>SUM(J38+J39)</f>
        <v>29.02</v>
      </c>
    </row>
    <row r="41" spans="1:16" x14ac:dyDescent="0.25">
      <c r="A41" s="18" t="s">
        <v>10</v>
      </c>
      <c r="B41" s="200" t="s">
        <v>40</v>
      </c>
      <c r="C41" s="200"/>
      <c r="D41" s="200"/>
      <c r="E41" s="200"/>
      <c r="F41" s="200"/>
      <c r="G41" s="200"/>
      <c r="H41" s="200"/>
      <c r="I41" s="200"/>
      <c r="J41" s="19">
        <f>ROUND(I54*J40,2)</f>
        <v>10.68</v>
      </c>
    </row>
    <row r="42" spans="1:16" x14ac:dyDescent="0.25">
      <c r="A42" s="202" t="s">
        <v>39</v>
      </c>
      <c r="B42" s="202"/>
      <c r="C42" s="202"/>
      <c r="D42" s="202"/>
      <c r="E42" s="202"/>
      <c r="F42" s="202"/>
      <c r="G42" s="202"/>
      <c r="H42" s="202"/>
      <c r="I42" s="202"/>
      <c r="J42" s="20">
        <f>J40+J41</f>
        <v>39.700000000000003</v>
      </c>
    </row>
    <row r="43" spans="1:16" x14ac:dyDescent="0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6" ht="15" customHeight="1" x14ac:dyDescent="0.25">
      <c r="A44" s="203" t="s">
        <v>41</v>
      </c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6" ht="30" x14ac:dyDescent="0.25">
      <c r="A45" s="21" t="s">
        <v>42</v>
      </c>
      <c r="B45" s="204" t="s">
        <v>43</v>
      </c>
      <c r="C45" s="204"/>
      <c r="D45" s="204"/>
      <c r="E45" s="204"/>
      <c r="F45" s="204"/>
      <c r="G45" s="204"/>
      <c r="H45" s="204"/>
      <c r="I45" s="6" t="s">
        <v>44</v>
      </c>
      <c r="J45" s="6" t="s">
        <v>45</v>
      </c>
    </row>
    <row r="46" spans="1:16" x14ac:dyDescent="0.25">
      <c r="A46" s="13" t="s">
        <v>5</v>
      </c>
      <c r="B46" s="200" t="s">
        <v>46</v>
      </c>
      <c r="C46" s="200"/>
      <c r="D46" s="200"/>
      <c r="E46" s="200"/>
      <c r="F46" s="200"/>
      <c r="G46" s="200"/>
      <c r="H46" s="200"/>
      <c r="I46" s="22">
        <v>0.2</v>
      </c>
      <c r="J46" s="23">
        <f t="shared" ref="J46:J53" si="0">ROUND($J$33*I46,2)</f>
        <v>51.12</v>
      </c>
    </row>
    <row r="47" spans="1:16" x14ac:dyDescent="0.25">
      <c r="A47" s="13" t="s">
        <v>7</v>
      </c>
      <c r="B47" s="200" t="s">
        <v>47</v>
      </c>
      <c r="C47" s="200"/>
      <c r="D47" s="200"/>
      <c r="E47" s="200"/>
      <c r="F47" s="200"/>
      <c r="G47" s="200"/>
      <c r="H47" s="200"/>
      <c r="I47" s="22">
        <v>2.5000000000000001E-2</v>
      </c>
      <c r="J47" s="23">
        <f t="shared" si="0"/>
        <v>6.39</v>
      </c>
    </row>
    <row r="48" spans="1:16" x14ac:dyDescent="0.25">
      <c r="A48" s="87" t="s">
        <v>10</v>
      </c>
      <c r="B48" s="236" t="s">
        <v>48</v>
      </c>
      <c r="C48" s="236"/>
      <c r="D48" s="236"/>
      <c r="E48" s="88" t="s">
        <v>49</v>
      </c>
      <c r="F48" s="89">
        <v>0.03</v>
      </c>
      <c r="G48" s="88" t="s">
        <v>50</v>
      </c>
      <c r="H48" s="90">
        <v>1</v>
      </c>
      <c r="I48" s="91">
        <f>F48*H48</f>
        <v>0.03</v>
      </c>
      <c r="J48" s="30">
        <f t="shared" si="0"/>
        <v>7.67</v>
      </c>
    </row>
    <row r="49" spans="1:12" x14ac:dyDescent="0.25">
      <c r="A49" s="104" t="s">
        <v>12</v>
      </c>
      <c r="B49" s="201" t="s">
        <v>187</v>
      </c>
      <c r="C49" s="201"/>
      <c r="D49" s="201"/>
      <c r="E49" s="201"/>
      <c r="F49" s="201"/>
      <c r="G49" s="201"/>
      <c r="H49" s="201"/>
      <c r="I49" s="105">
        <v>1.4999999999999999E-2</v>
      </c>
      <c r="J49" s="106">
        <f t="shared" si="0"/>
        <v>3.83</v>
      </c>
    </row>
    <row r="50" spans="1:12" x14ac:dyDescent="0.25">
      <c r="A50" s="104" t="s">
        <v>32</v>
      </c>
      <c r="B50" s="201" t="s">
        <v>188</v>
      </c>
      <c r="C50" s="201"/>
      <c r="D50" s="201"/>
      <c r="E50" s="201"/>
      <c r="F50" s="201"/>
      <c r="G50" s="201"/>
      <c r="H50" s="201"/>
      <c r="I50" s="105">
        <v>0.01</v>
      </c>
      <c r="J50" s="106">
        <f t="shared" si="0"/>
        <v>2.56</v>
      </c>
    </row>
    <row r="51" spans="1:12" x14ac:dyDescent="0.25">
      <c r="A51" s="13" t="s">
        <v>53</v>
      </c>
      <c r="B51" s="200" t="s">
        <v>54</v>
      </c>
      <c r="C51" s="200"/>
      <c r="D51" s="200"/>
      <c r="E51" s="200"/>
      <c r="F51" s="200"/>
      <c r="G51" s="200"/>
      <c r="H51" s="200"/>
      <c r="I51" s="22">
        <v>6.0000000000000001E-3</v>
      </c>
      <c r="J51" s="23">
        <f t="shared" si="0"/>
        <v>1.53</v>
      </c>
    </row>
    <row r="52" spans="1:12" x14ac:dyDescent="0.25">
      <c r="A52" s="13" t="s">
        <v>55</v>
      </c>
      <c r="B52" s="200" t="s">
        <v>56</v>
      </c>
      <c r="C52" s="200"/>
      <c r="D52" s="200"/>
      <c r="E52" s="200"/>
      <c r="F52" s="200"/>
      <c r="G52" s="200"/>
      <c r="H52" s="200"/>
      <c r="I52" s="22">
        <v>2E-3</v>
      </c>
      <c r="J52" s="23">
        <f t="shared" si="0"/>
        <v>0.51</v>
      </c>
    </row>
    <row r="53" spans="1:12" x14ac:dyDescent="0.25">
      <c r="A53" s="13" t="s">
        <v>57</v>
      </c>
      <c r="B53" s="200" t="s">
        <v>58</v>
      </c>
      <c r="C53" s="200"/>
      <c r="D53" s="200"/>
      <c r="E53" s="200"/>
      <c r="F53" s="200"/>
      <c r="G53" s="200"/>
      <c r="H53" s="200"/>
      <c r="I53" s="22">
        <v>0.08</v>
      </c>
      <c r="J53" s="23">
        <f t="shared" si="0"/>
        <v>20.45</v>
      </c>
    </row>
    <row r="54" spans="1:12" x14ac:dyDescent="0.25">
      <c r="A54" s="202" t="s">
        <v>39</v>
      </c>
      <c r="B54" s="202"/>
      <c r="C54" s="202"/>
      <c r="D54" s="202"/>
      <c r="E54" s="202"/>
      <c r="F54" s="202"/>
      <c r="G54" s="202"/>
      <c r="H54" s="202"/>
      <c r="I54" s="25">
        <f>SUM(I46:I53)</f>
        <v>0.36800000000000005</v>
      </c>
      <c r="J54" s="20">
        <f>SUM(J46:J53)</f>
        <v>94.06</v>
      </c>
    </row>
    <row r="55" spans="1:12" x14ac:dyDescent="0.25">
      <c r="A55" s="171"/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2" ht="15" customHeight="1" x14ac:dyDescent="0.25">
      <c r="A56" s="203" t="s">
        <v>59</v>
      </c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2" x14ac:dyDescent="0.25">
      <c r="A57" s="21" t="s">
        <v>60</v>
      </c>
      <c r="B57" s="204" t="s">
        <v>61</v>
      </c>
      <c r="C57" s="204"/>
      <c r="D57" s="204"/>
      <c r="E57" s="204"/>
      <c r="F57" s="204"/>
      <c r="G57" s="204"/>
      <c r="H57" s="204"/>
      <c r="I57" s="204"/>
      <c r="J57" s="6" t="s">
        <v>38</v>
      </c>
    </row>
    <row r="58" spans="1:12" x14ac:dyDescent="0.25">
      <c r="A58" s="13" t="s">
        <v>5</v>
      </c>
      <c r="B58" s="200" t="s">
        <v>62</v>
      </c>
      <c r="C58" s="200"/>
      <c r="D58" s="200"/>
      <c r="E58" s="200"/>
      <c r="F58" s="200"/>
      <c r="G58" s="200"/>
      <c r="H58" s="200"/>
      <c r="I58" s="200"/>
      <c r="J58" s="23">
        <f>I59*I60</f>
        <v>8.5</v>
      </c>
      <c r="L58">
        <f>J58*8</f>
        <v>68</v>
      </c>
    </row>
    <row r="59" spans="1:12" ht="15" customHeight="1" x14ac:dyDescent="0.25">
      <c r="A59" s="13"/>
      <c r="B59" s="230" t="s">
        <v>63</v>
      </c>
      <c r="C59" s="231"/>
      <c r="D59" s="231"/>
      <c r="E59" s="231"/>
      <c r="F59" s="231"/>
      <c r="G59" s="231"/>
      <c r="H59" s="232"/>
      <c r="I59" s="26">
        <v>4.25</v>
      </c>
      <c r="J59" s="27" t="s">
        <v>64</v>
      </c>
    </row>
    <row r="60" spans="1:12" x14ac:dyDescent="0.25">
      <c r="A60" s="13"/>
      <c r="B60" s="208" t="s">
        <v>65</v>
      </c>
      <c r="C60" s="208"/>
      <c r="D60" s="208"/>
      <c r="E60" s="208"/>
      <c r="F60" s="208"/>
      <c r="G60" s="208"/>
      <c r="H60" s="208"/>
      <c r="I60" s="28">
        <v>2</v>
      </c>
      <c r="J60" s="27"/>
    </row>
    <row r="61" spans="1:12" x14ac:dyDescent="0.25">
      <c r="A61" s="13"/>
      <c r="B61" s="208" t="s">
        <v>66</v>
      </c>
      <c r="C61" s="208"/>
      <c r="D61" s="208"/>
      <c r="E61" s="208"/>
      <c r="F61" s="208"/>
      <c r="G61" s="208"/>
      <c r="H61" s="208"/>
      <c r="I61" s="29">
        <v>1</v>
      </c>
      <c r="J61" s="27"/>
    </row>
    <row r="62" spans="1:12" x14ac:dyDescent="0.25">
      <c r="A62" s="13" t="s">
        <v>7</v>
      </c>
      <c r="B62" s="200" t="s">
        <v>67</v>
      </c>
      <c r="C62" s="200"/>
      <c r="D62" s="200"/>
      <c r="E62" s="200"/>
      <c r="F62" s="200"/>
      <c r="G62" s="200"/>
      <c r="H62" s="200"/>
      <c r="I62" s="200"/>
      <c r="J62" s="30">
        <f>I63</f>
        <v>0</v>
      </c>
    </row>
    <row r="63" spans="1:12" x14ac:dyDescent="0.25">
      <c r="A63" s="13"/>
      <c r="B63" s="208" t="s">
        <v>68</v>
      </c>
      <c r="C63" s="208"/>
      <c r="D63" s="208"/>
      <c r="E63" s="208"/>
      <c r="F63" s="208"/>
      <c r="G63" s="208"/>
      <c r="H63" s="208"/>
      <c r="I63" s="31">
        <v>0</v>
      </c>
      <c r="J63" s="27" t="s">
        <v>64</v>
      </c>
    </row>
    <row r="64" spans="1:12" ht="15" customHeight="1" x14ac:dyDescent="0.25">
      <c r="A64" s="32"/>
      <c r="B64" s="230" t="s">
        <v>69</v>
      </c>
      <c r="C64" s="231"/>
      <c r="D64" s="231"/>
      <c r="E64" s="231"/>
      <c r="F64" s="231"/>
      <c r="G64" s="231"/>
      <c r="H64" s="232"/>
      <c r="I64" s="29">
        <v>0</v>
      </c>
      <c r="J64" s="27"/>
    </row>
    <row r="65" spans="1:10" x14ac:dyDescent="0.25">
      <c r="A65" s="32"/>
      <c r="B65" s="107" t="s">
        <v>189</v>
      </c>
      <c r="C65" s="107"/>
      <c r="D65" s="107"/>
      <c r="E65" s="107"/>
      <c r="F65" s="107"/>
      <c r="G65" s="107"/>
      <c r="H65" s="107"/>
      <c r="I65" s="29"/>
      <c r="J65" s="30">
        <f>ROUND(I67*I66*(1-0.19),2)*1+ROUND(21.726*6*(1-0.19),2)*0</f>
        <v>7.37</v>
      </c>
    </row>
    <row r="66" spans="1:10" x14ac:dyDescent="0.25">
      <c r="A66" s="32"/>
      <c r="B66" s="107" t="s">
        <v>190</v>
      </c>
      <c r="C66" s="107"/>
      <c r="D66" s="107"/>
      <c r="E66" s="107"/>
      <c r="F66" s="107"/>
      <c r="G66" s="107"/>
      <c r="H66" s="107"/>
      <c r="I66" s="57">
        <v>9.1</v>
      </c>
      <c r="J66" s="27" t="s">
        <v>64</v>
      </c>
    </row>
    <row r="67" spans="1:10" ht="15" customHeight="1" x14ac:dyDescent="0.25">
      <c r="A67" s="32"/>
      <c r="B67" s="230" t="s">
        <v>191</v>
      </c>
      <c r="C67" s="231"/>
      <c r="D67" s="231"/>
      <c r="E67" s="231"/>
      <c r="F67" s="231"/>
      <c r="G67" s="231"/>
      <c r="H67" s="232"/>
      <c r="I67" s="29">
        <v>1</v>
      </c>
      <c r="J67" s="27"/>
    </row>
    <row r="68" spans="1:10" ht="15" customHeight="1" x14ac:dyDescent="0.25">
      <c r="A68" s="13" t="s">
        <v>12</v>
      </c>
      <c r="B68" s="155" t="s">
        <v>70</v>
      </c>
      <c r="C68" s="155"/>
      <c r="D68" s="155"/>
      <c r="E68" s="155"/>
      <c r="F68" s="155"/>
      <c r="G68" s="155"/>
      <c r="H68" s="155"/>
      <c r="I68" s="155"/>
      <c r="J68" s="23"/>
    </row>
    <row r="69" spans="1:10" ht="15" customHeight="1" x14ac:dyDescent="0.25">
      <c r="A69" s="13" t="s">
        <v>32</v>
      </c>
      <c r="B69" s="155" t="s">
        <v>192</v>
      </c>
      <c r="C69" s="155"/>
      <c r="D69" s="155"/>
      <c r="E69" s="155"/>
      <c r="F69" s="155"/>
      <c r="G69" s="155"/>
      <c r="H69" s="155"/>
      <c r="I69" s="155"/>
      <c r="J69" s="44">
        <v>0</v>
      </c>
    </row>
    <row r="70" spans="1:10" x14ac:dyDescent="0.25">
      <c r="A70" s="202" t="s">
        <v>33</v>
      </c>
      <c r="B70" s="202"/>
      <c r="C70" s="202"/>
      <c r="D70" s="202"/>
      <c r="E70" s="202"/>
      <c r="F70" s="202"/>
      <c r="G70" s="202"/>
      <c r="H70" s="202"/>
      <c r="I70" s="202"/>
      <c r="J70" s="20">
        <f>SUM(J58:J69)</f>
        <v>15.870000000000001</v>
      </c>
    </row>
    <row r="71" spans="1:10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</row>
    <row r="72" spans="1:10" ht="15" customHeight="1" x14ac:dyDescent="0.25">
      <c r="A72" s="203" t="s">
        <v>72</v>
      </c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5" customHeight="1" x14ac:dyDescent="0.25">
      <c r="A73" s="6">
        <v>2</v>
      </c>
      <c r="B73" s="165" t="s">
        <v>73</v>
      </c>
      <c r="C73" s="165"/>
      <c r="D73" s="165"/>
      <c r="E73" s="165"/>
      <c r="F73" s="165"/>
      <c r="G73" s="165"/>
      <c r="H73" s="165"/>
      <c r="I73" s="165"/>
      <c r="J73" s="6" t="s">
        <v>38</v>
      </c>
    </row>
    <row r="74" spans="1:10" ht="15" customHeight="1" x14ac:dyDescent="0.25">
      <c r="A74" s="34" t="s">
        <v>36</v>
      </c>
      <c r="B74" s="34"/>
      <c r="C74" s="210" t="s">
        <v>74</v>
      </c>
      <c r="D74" s="210"/>
      <c r="E74" s="210"/>
      <c r="F74" s="210"/>
      <c r="G74" s="210"/>
      <c r="H74" s="210"/>
      <c r="I74" s="210"/>
      <c r="J74" s="35">
        <f>J42</f>
        <v>39.700000000000003</v>
      </c>
    </row>
    <row r="75" spans="1:10" ht="15" customHeight="1" x14ac:dyDescent="0.25">
      <c r="A75" s="34" t="s">
        <v>42</v>
      </c>
      <c r="B75" s="34"/>
      <c r="C75" s="210" t="s">
        <v>43</v>
      </c>
      <c r="D75" s="210"/>
      <c r="E75" s="210"/>
      <c r="F75" s="210"/>
      <c r="G75" s="210"/>
      <c r="H75" s="210"/>
      <c r="I75" s="210"/>
      <c r="J75" s="35">
        <f>J54</f>
        <v>94.06</v>
      </c>
    </row>
    <row r="76" spans="1:10" ht="15" customHeight="1" x14ac:dyDescent="0.25">
      <c r="A76" s="34" t="s">
        <v>60</v>
      </c>
      <c r="B76" s="34"/>
      <c r="C76" s="210" t="s">
        <v>61</v>
      </c>
      <c r="D76" s="210"/>
      <c r="E76" s="210"/>
      <c r="F76" s="210"/>
      <c r="G76" s="210"/>
      <c r="H76" s="210"/>
      <c r="I76" s="210"/>
      <c r="J76" s="35">
        <f>J70</f>
        <v>15.870000000000001</v>
      </c>
    </row>
    <row r="77" spans="1:10" x14ac:dyDescent="0.25">
      <c r="A77" s="211" t="s">
        <v>39</v>
      </c>
      <c r="B77" s="211"/>
      <c r="C77" s="211"/>
      <c r="D77" s="211"/>
      <c r="E77" s="211"/>
      <c r="F77" s="211"/>
      <c r="G77" s="211"/>
      <c r="H77" s="211"/>
      <c r="I77" s="211"/>
      <c r="J77" s="36">
        <f>SUM(J74+J75+J76)</f>
        <v>149.63</v>
      </c>
    </row>
    <row r="78" spans="1:10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</row>
    <row r="79" spans="1:10" ht="15" customHeight="1" x14ac:dyDescent="0.25">
      <c r="A79" s="203" t="s">
        <v>75</v>
      </c>
      <c r="B79" s="203"/>
      <c r="C79" s="203"/>
      <c r="D79" s="203"/>
      <c r="E79" s="203"/>
      <c r="F79" s="203"/>
      <c r="G79" s="203"/>
      <c r="H79" s="203"/>
      <c r="I79" s="203"/>
      <c r="J79" s="203"/>
    </row>
    <row r="80" spans="1:10" ht="15" customHeight="1" x14ac:dyDescent="0.25">
      <c r="A80" s="21">
        <v>3</v>
      </c>
      <c r="B80" s="165" t="s">
        <v>76</v>
      </c>
      <c r="C80" s="165"/>
      <c r="D80" s="165"/>
      <c r="E80" s="165"/>
      <c r="F80" s="165"/>
      <c r="G80" s="165"/>
      <c r="H80" s="165"/>
      <c r="I80" s="165"/>
      <c r="J80" s="21" t="s">
        <v>77</v>
      </c>
    </row>
    <row r="81" spans="1:10" ht="15" customHeight="1" x14ac:dyDescent="0.25">
      <c r="A81" s="13" t="s">
        <v>5</v>
      </c>
      <c r="B81" s="155" t="s">
        <v>193</v>
      </c>
      <c r="C81" s="155"/>
      <c r="D81" s="155"/>
      <c r="E81" s="155"/>
      <c r="F81" s="155"/>
      <c r="G81" s="155"/>
      <c r="H81" s="155"/>
      <c r="I81" s="155"/>
      <c r="J81" s="23">
        <f>ROUND((($J$33/12)+($J$38/12)+($J$33/12/12)+($J$39/12))*(30/30)*0.05,2)</f>
        <v>1.27</v>
      </c>
    </row>
    <row r="82" spans="1:10" ht="15" customHeight="1" x14ac:dyDescent="0.25">
      <c r="A82" s="13" t="s">
        <v>7</v>
      </c>
      <c r="B82" s="155" t="s">
        <v>78</v>
      </c>
      <c r="C82" s="155"/>
      <c r="D82" s="155"/>
      <c r="E82" s="155"/>
      <c r="F82" s="155"/>
      <c r="G82" s="155"/>
      <c r="H82" s="155"/>
      <c r="I82" s="155"/>
      <c r="J82" s="23">
        <f>ROUND($J$81*I53,2)</f>
        <v>0.1</v>
      </c>
    </row>
    <row r="83" spans="1:10" ht="15" customHeight="1" x14ac:dyDescent="0.25">
      <c r="A83" s="13" t="s">
        <v>10</v>
      </c>
      <c r="B83" s="155" t="s">
        <v>194</v>
      </c>
      <c r="C83" s="155"/>
      <c r="D83" s="155"/>
      <c r="E83" s="155"/>
      <c r="F83" s="155"/>
      <c r="G83" s="155"/>
      <c r="H83" s="155"/>
      <c r="I83" s="37">
        <v>2.3999999999999998E-3</v>
      </c>
      <c r="J83" s="23">
        <f>ROUND($J$33*I83,2)</f>
        <v>0.61</v>
      </c>
    </row>
    <row r="84" spans="1:10" ht="15" customHeight="1" x14ac:dyDescent="0.25">
      <c r="A84" s="13" t="s">
        <v>12</v>
      </c>
      <c r="B84" s="155" t="s">
        <v>195</v>
      </c>
      <c r="C84" s="155"/>
      <c r="D84" s="155"/>
      <c r="E84" s="155"/>
      <c r="F84" s="155"/>
      <c r="G84" s="155"/>
      <c r="H84" s="155"/>
      <c r="I84" s="155"/>
      <c r="J84" s="23">
        <f>ROUND(((($J$33/30)*7)/$H$12)*0.9,2)</f>
        <v>4.47</v>
      </c>
    </row>
    <row r="85" spans="1:10" ht="15" customHeight="1" x14ac:dyDescent="0.25">
      <c r="A85" s="13" t="s">
        <v>32</v>
      </c>
      <c r="B85" s="155" t="s">
        <v>79</v>
      </c>
      <c r="C85" s="155"/>
      <c r="D85" s="155"/>
      <c r="E85" s="155"/>
      <c r="F85" s="155"/>
      <c r="G85" s="155"/>
      <c r="H85" s="155"/>
      <c r="I85" s="155"/>
      <c r="J85" s="23">
        <f>ROUND($I$54*J84,2)</f>
        <v>1.64</v>
      </c>
    </row>
    <row r="86" spans="1:10" ht="15" customHeight="1" x14ac:dyDescent="0.25">
      <c r="A86" s="13" t="s">
        <v>53</v>
      </c>
      <c r="B86" s="155" t="s">
        <v>196</v>
      </c>
      <c r="C86" s="155"/>
      <c r="D86" s="155"/>
      <c r="E86" s="155"/>
      <c r="F86" s="155"/>
      <c r="G86" s="155"/>
      <c r="H86" s="155"/>
      <c r="I86" s="37">
        <v>4.7599999999999996E-2</v>
      </c>
      <c r="J86" s="23">
        <f>ROUND($J$33*I86,2)</f>
        <v>12.17</v>
      </c>
    </row>
    <row r="87" spans="1:10" x14ac:dyDescent="0.25">
      <c r="A87" s="202" t="s">
        <v>39</v>
      </c>
      <c r="B87" s="202"/>
      <c r="C87" s="202"/>
      <c r="D87" s="202"/>
      <c r="E87" s="202"/>
      <c r="F87" s="202"/>
      <c r="G87" s="202"/>
      <c r="H87" s="202"/>
      <c r="I87" s="202"/>
      <c r="J87" s="20">
        <f>SUM(J81:J86)</f>
        <v>20.259999999999998</v>
      </c>
    </row>
    <row r="88" spans="1:10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5" customHeight="1" x14ac:dyDescent="0.25">
      <c r="A89" s="203" t="s">
        <v>80</v>
      </c>
      <c r="B89" s="203"/>
      <c r="C89" s="203"/>
      <c r="D89" s="203"/>
      <c r="E89" s="203"/>
      <c r="F89" s="203"/>
      <c r="G89" s="203"/>
      <c r="H89" s="203"/>
      <c r="I89" s="203"/>
      <c r="J89" s="203"/>
    </row>
    <row r="90" spans="1:10" ht="15" customHeight="1" x14ac:dyDescent="0.25">
      <c r="A90" s="215" t="s">
        <v>81</v>
      </c>
      <c r="B90" s="215"/>
      <c r="C90" s="215"/>
      <c r="D90" s="215"/>
      <c r="E90" s="215"/>
      <c r="F90" s="215"/>
      <c r="G90" s="215"/>
      <c r="H90" s="215"/>
      <c r="I90" s="215"/>
      <c r="J90" s="38">
        <f>J93+J33+J38+J39</f>
        <v>307.81247272727279</v>
      </c>
    </row>
    <row r="91" spans="1:10" x14ac:dyDescent="0.25">
      <c r="A91" s="216"/>
      <c r="B91" s="216"/>
      <c r="C91" s="216"/>
      <c r="D91" s="216"/>
      <c r="E91" s="216"/>
      <c r="F91" s="216"/>
      <c r="G91" s="216"/>
      <c r="H91" s="216"/>
      <c r="I91" s="216"/>
      <c r="J91" s="216"/>
    </row>
    <row r="92" spans="1:10" x14ac:dyDescent="0.25">
      <c r="A92" s="39" t="s">
        <v>82</v>
      </c>
      <c r="B92" s="204" t="s">
        <v>83</v>
      </c>
      <c r="C92" s="204"/>
      <c r="D92" s="204"/>
      <c r="E92" s="204"/>
      <c r="F92" s="204"/>
      <c r="G92" s="204"/>
      <c r="H92" s="204"/>
      <c r="I92" s="204"/>
      <c r="J92" s="39" t="s">
        <v>38</v>
      </c>
    </row>
    <row r="93" spans="1:10" ht="15" customHeight="1" x14ac:dyDescent="0.25">
      <c r="A93" s="18" t="s">
        <v>5</v>
      </c>
      <c r="B93" s="155" t="s">
        <v>84</v>
      </c>
      <c r="C93" s="155"/>
      <c r="D93" s="155"/>
      <c r="E93" s="155"/>
      <c r="F93" s="155"/>
      <c r="G93" s="155"/>
      <c r="H93" s="155"/>
      <c r="I93" s="16">
        <v>9.0749999999999997E-2</v>
      </c>
      <c r="J93" s="23">
        <f>ROUND(($J$33*I93),2)</f>
        <v>23.2</v>
      </c>
    </row>
    <row r="94" spans="1:10" s="110" customFormat="1" ht="15" customHeight="1" x14ac:dyDescent="0.25">
      <c r="A94" s="108" t="s">
        <v>7</v>
      </c>
      <c r="B94" s="155" t="s">
        <v>197</v>
      </c>
      <c r="C94" s="155"/>
      <c r="D94" s="155"/>
      <c r="E94" s="155"/>
      <c r="F94" s="155"/>
      <c r="G94" s="155"/>
      <c r="H94" s="155"/>
      <c r="I94" s="155"/>
      <c r="J94" s="109"/>
    </row>
    <row r="95" spans="1:10" s="110" customFormat="1" ht="15" customHeight="1" x14ac:dyDescent="0.25">
      <c r="A95" s="108" t="s">
        <v>10</v>
      </c>
      <c r="B95" s="155" t="s">
        <v>198</v>
      </c>
      <c r="C95" s="155"/>
      <c r="D95" s="155"/>
      <c r="E95" s="155"/>
      <c r="F95" s="155"/>
      <c r="G95" s="155"/>
      <c r="H95" s="155"/>
      <c r="I95" s="155"/>
      <c r="J95" s="109"/>
    </row>
    <row r="96" spans="1:10" s="110" customFormat="1" ht="15" customHeight="1" x14ac:dyDescent="0.25">
      <c r="A96" s="108" t="s">
        <v>12</v>
      </c>
      <c r="B96" s="155" t="s">
        <v>85</v>
      </c>
      <c r="C96" s="155"/>
      <c r="D96" s="155"/>
      <c r="E96" s="155"/>
      <c r="F96" s="155"/>
      <c r="G96" s="155"/>
      <c r="H96" s="155"/>
      <c r="I96" s="155"/>
      <c r="J96" s="111"/>
    </row>
    <row r="97" spans="1:10" s="110" customFormat="1" ht="15" customHeight="1" x14ac:dyDescent="0.25">
      <c r="A97" s="108" t="s">
        <v>32</v>
      </c>
      <c r="B97" s="155" t="s">
        <v>199</v>
      </c>
      <c r="C97" s="155"/>
      <c r="D97" s="155"/>
      <c r="E97" s="155"/>
      <c r="F97" s="155"/>
      <c r="G97" s="155"/>
      <c r="H97" s="155"/>
      <c r="I97" s="155"/>
      <c r="J97" s="112"/>
    </row>
    <row r="98" spans="1:10" s="110" customFormat="1" ht="15" customHeight="1" x14ac:dyDescent="0.25">
      <c r="A98" s="113" t="s">
        <v>53</v>
      </c>
      <c r="B98" s="216" t="s">
        <v>200</v>
      </c>
      <c r="C98" s="216"/>
      <c r="D98" s="216"/>
      <c r="E98" s="216"/>
      <c r="F98" s="216"/>
      <c r="G98" s="216"/>
      <c r="H98" s="216"/>
      <c r="I98" s="216"/>
      <c r="J98" s="111"/>
    </row>
    <row r="99" spans="1:10" x14ac:dyDescent="0.25">
      <c r="A99" s="202" t="s">
        <v>39</v>
      </c>
      <c r="B99" s="202"/>
      <c r="C99" s="202"/>
      <c r="D99" s="202"/>
      <c r="E99" s="202"/>
      <c r="F99" s="202"/>
      <c r="G99" s="202"/>
      <c r="H99" s="202"/>
      <c r="I99" s="202"/>
      <c r="J99" s="42">
        <f>SUM(J93:J98)</f>
        <v>23.2</v>
      </c>
    </row>
    <row r="100" spans="1:10" x14ac:dyDescent="0.25">
      <c r="A100" s="18" t="s">
        <v>55</v>
      </c>
      <c r="B100" s="200" t="s">
        <v>86</v>
      </c>
      <c r="C100" s="200"/>
      <c r="D100" s="200"/>
      <c r="E100" s="200"/>
      <c r="F100" s="200"/>
      <c r="G100" s="200"/>
      <c r="H100" s="200"/>
      <c r="I100" s="200"/>
      <c r="J100" s="19">
        <f>ROUND(I54*J99,2)</f>
        <v>8.5399999999999991</v>
      </c>
    </row>
    <row r="101" spans="1:10" x14ac:dyDescent="0.25">
      <c r="A101" s="202" t="s">
        <v>39</v>
      </c>
      <c r="B101" s="202"/>
      <c r="C101" s="202"/>
      <c r="D101" s="202"/>
      <c r="E101" s="202"/>
      <c r="F101" s="202"/>
      <c r="G101" s="202"/>
      <c r="H101" s="202"/>
      <c r="I101" s="202"/>
      <c r="J101" s="20">
        <f>SUM(J99:J100)</f>
        <v>31.74</v>
      </c>
    </row>
    <row r="102" spans="1:10" ht="15" customHeight="1" x14ac:dyDescent="0.25">
      <c r="A102" s="203" t="s">
        <v>87</v>
      </c>
      <c r="B102" s="203"/>
      <c r="C102" s="203"/>
      <c r="D102" s="203"/>
      <c r="E102" s="203"/>
      <c r="F102" s="203"/>
      <c r="G102" s="203"/>
      <c r="H102" s="203"/>
      <c r="I102" s="203"/>
      <c r="J102" s="203"/>
    </row>
    <row r="103" spans="1:10" x14ac:dyDescent="0.25">
      <c r="A103" s="21" t="s">
        <v>88</v>
      </c>
      <c r="B103" s="204" t="s">
        <v>89</v>
      </c>
      <c r="C103" s="204"/>
      <c r="D103" s="204"/>
      <c r="E103" s="204"/>
      <c r="F103" s="204"/>
      <c r="G103" s="204"/>
      <c r="H103" s="204"/>
      <c r="I103" s="204"/>
      <c r="J103" s="43" t="s">
        <v>38</v>
      </c>
    </row>
    <row r="104" spans="1:10" x14ac:dyDescent="0.25">
      <c r="A104" s="13" t="s">
        <v>5</v>
      </c>
      <c r="B104" s="200" t="s">
        <v>90</v>
      </c>
      <c r="C104" s="200"/>
      <c r="D104" s="200"/>
      <c r="E104" s="200"/>
      <c r="F104" s="200"/>
      <c r="G104" s="200"/>
      <c r="H104" s="200"/>
      <c r="I104" s="200"/>
      <c r="J104" s="23">
        <v>0</v>
      </c>
    </row>
    <row r="105" spans="1:10" x14ac:dyDescent="0.25">
      <c r="A105" s="218" t="s">
        <v>39</v>
      </c>
      <c r="B105" s="218"/>
      <c r="C105" s="218"/>
      <c r="D105" s="218"/>
      <c r="E105" s="218"/>
      <c r="F105" s="218"/>
      <c r="G105" s="218"/>
      <c r="H105" s="218"/>
      <c r="I105" s="218"/>
      <c r="J105" s="23">
        <v>0</v>
      </c>
    </row>
    <row r="106" spans="1:10" x14ac:dyDescent="0.25">
      <c r="A106" s="18" t="s">
        <v>7</v>
      </c>
      <c r="B106" s="200" t="s">
        <v>91</v>
      </c>
      <c r="C106" s="200"/>
      <c r="D106" s="200"/>
      <c r="E106" s="200"/>
      <c r="F106" s="200"/>
      <c r="G106" s="200"/>
      <c r="H106" s="200"/>
      <c r="I106" s="200"/>
      <c r="J106" s="19">
        <f>ROUND(I54*J105,2)</f>
        <v>0</v>
      </c>
    </row>
    <row r="107" spans="1:10" x14ac:dyDescent="0.25">
      <c r="A107" s="202" t="s">
        <v>39</v>
      </c>
      <c r="B107" s="202"/>
      <c r="C107" s="202"/>
      <c r="D107" s="202"/>
      <c r="E107" s="202"/>
      <c r="F107" s="202"/>
      <c r="G107" s="202"/>
      <c r="H107" s="202"/>
      <c r="I107" s="202"/>
      <c r="J107" s="20">
        <f>SUM(J105:J106)</f>
        <v>0</v>
      </c>
    </row>
    <row r="108" spans="1:10" x14ac:dyDescent="0.2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</row>
    <row r="109" spans="1:10" ht="15" customHeight="1" x14ac:dyDescent="0.25">
      <c r="A109" s="203" t="s">
        <v>92</v>
      </c>
      <c r="B109" s="203"/>
      <c r="C109" s="203"/>
      <c r="D109" s="203"/>
      <c r="E109" s="203"/>
      <c r="F109" s="203"/>
      <c r="G109" s="203"/>
      <c r="H109" s="203"/>
      <c r="I109" s="203"/>
      <c r="J109" s="203"/>
    </row>
    <row r="110" spans="1:10" ht="15" customHeight="1" x14ac:dyDescent="0.25">
      <c r="A110" s="6">
        <v>4</v>
      </c>
      <c r="B110" s="165" t="s">
        <v>93</v>
      </c>
      <c r="C110" s="165"/>
      <c r="D110" s="165"/>
      <c r="E110" s="165"/>
      <c r="F110" s="165"/>
      <c r="G110" s="165"/>
      <c r="H110" s="165"/>
      <c r="I110" s="165"/>
      <c r="J110" s="43" t="s">
        <v>38</v>
      </c>
    </row>
    <row r="111" spans="1:10" ht="15" customHeight="1" x14ac:dyDescent="0.25">
      <c r="A111" s="5" t="s">
        <v>82</v>
      </c>
      <c r="B111" s="155" t="s">
        <v>94</v>
      </c>
      <c r="C111" s="155"/>
      <c r="D111" s="155"/>
      <c r="E111" s="155"/>
      <c r="F111" s="155"/>
      <c r="G111" s="155"/>
      <c r="H111" s="155"/>
      <c r="I111" s="155"/>
      <c r="J111" s="23">
        <f>J101</f>
        <v>31.74</v>
      </c>
    </row>
    <row r="112" spans="1:10" ht="15" customHeight="1" x14ac:dyDescent="0.25">
      <c r="A112" s="5" t="s">
        <v>95</v>
      </c>
      <c r="B112" s="155" t="s">
        <v>96</v>
      </c>
      <c r="C112" s="155"/>
      <c r="D112" s="155"/>
      <c r="E112" s="155"/>
      <c r="F112" s="155"/>
      <c r="G112" s="155"/>
      <c r="H112" s="155"/>
      <c r="I112" s="155"/>
      <c r="J112" s="23">
        <f>J107</f>
        <v>0</v>
      </c>
    </row>
    <row r="113" spans="1:12" x14ac:dyDescent="0.25">
      <c r="A113" s="192" t="s">
        <v>39</v>
      </c>
      <c r="B113" s="192"/>
      <c r="C113" s="192"/>
      <c r="D113" s="192"/>
      <c r="E113" s="192"/>
      <c r="F113" s="192"/>
      <c r="G113" s="192"/>
      <c r="H113" s="192"/>
      <c r="I113" s="192"/>
      <c r="J113" s="20">
        <f>SUM(J111+J112)</f>
        <v>31.74</v>
      </c>
    </row>
    <row r="114" spans="1:12" x14ac:dyDescent="0.2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</row>
    <row r="115" spans="1:12" ht="15" customHeight="1" x14ac:dyDescent="0.25">
      <c r="A115" s="203" t="s">
        <v>97</v>
      </c>
      <c r="B115" s="203"/>
      <c r="C115" s="203"/>
      <c r="D115" s="203"/>
      <c r="E115" s="203"/>
      <c r="F115" s="203"/>
      <c r="G115" s="203"/>
      <c r="H115" s="203"/>
      <c r="I115" s="203"/>
      <c r="J115" s="203"/>
    </row>
    <row r="116" spans="1:12" x14ac:dyDescent="0.25">
      <c r="A116" s="21">
        <v>5</v>
      </c>
      <c r="B116" s="204" t="s">
        <v>98</v>
      </c>
      <c r="C116" s="204"/>
      <c r="D116" s="204"/>
      <c r="E116" s="204"/>
      <c r="F116" s="204"/>
      <c r="G116" s="204"/>
      <c r="H116" s="204"/>
      <c r="I116" s="204"/>
      <c r="J116" s="21" t="s">
        <v>38</v>
      </c>
    </row>
    <row r="117" spans="1:12" x14ac:dyDescent="0.25">
      <c r="A117" s="13" t="s">
        <v>5</v>
      </c>
      <c r="B117" s="200" t="s">
        <v>99</v>
      </c>
      <c r="C117" s="200"/>
      <c r="D117" s="200"/>
      <c r="E117" s="200"/>
      <c r="F117" s="200"/>
      <c r="G117" s="200"/>
      <c r="H117" s="200"/>
      <c r="I117" s="200"/>
      <c r="J117" s="23">
        <v>0</v>
      </c>
    </row>
    <row r="118" spans="1:12" x14ac:dyDescent="0.25">
      <c r="A118" s="13" t="s">
        <v>7</v>
      </c>
      <c r="B118" s="200" t="s">
        <v>100</v>
      </c>
      <c r="C118" s="200"/>
      <c r="D118" s="200"/>
      <c r="E118" s="200"/>
      <c r="F118" s="200"/>
      <c r="G118" s="200"/>
      <c r="H118" s="200"/>
      <c r="I118" s="200"/>
      <c r="J118" s="44">
        <v>0</v>
      </c>
    </row>
    <row r="119" spans="1:12" x14ac:dyDescent="0.25">
      <c r="A119" s="13" t="s">
        <v>10</v>
      </c>
      <c r="B119" s="200" t="s">
        <v>101</v>
      </c>
      <c r="C119" s="200"/>
      <c r="D119" s="200"/>
      <c r="E119" s="200"/>
      <c r="F119" s="200"/>
      <c r="G119" s="200"/>
      <c r="H119" s="200"/>
      <c r="I119" s="200"/>
      <c r="J119" s="44">
        <f>[1]INSUMOS!F94</f>
        <v>0</v>
      </c>
    </row>
    <row r="120" spans="1:12" x14ac:dyDescent="0.25">
      <c r="A120" s="13" t="s">
        <v>12</v>
      </c>
      <c r="B120" s="200" t="s">
        <v>102</v>
      </c>
      <c r="C120" s="200"/>
      <c r="D120" s="200"/>
      <c r="E120" s="200"/>
      <c r="F120" s="200"/>
      <c r="G120" s="200"/>
      <c r="H120" s="200"/>
      <c r="I120" s="200"/>
      <c r="J120" s="44" t="s">
        <v>103</v>
      </c>
    </row>
    <row r="121" spans="1:12" x14ac:dyDescent="0.25">
      <c r="A121" s="202" t="s">
        <v>33</v>
      </c>
      <c r="B121" s="202"/>
      <c r="C121" s="202"/>
      <c r="D121" s="202"/>
      <c r="E121" s="202"/>
      <c r="F121" s="202"/>
      <c r="G121" s="202"/>
      <c r="H121" s="202"/>
      <c r="I121" s="202"/>
      <c r="J121" s="45">
        <f>SUM(J117:J120)</f>
        <v>0</v>
      </c>
    </row>
    <row r="122" spans="1:12" x14ac:dyDescent="0.2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</row>
    <row r="123" spans="1:12" ht="15" customHeight="1" x14ac:dyDescent="0.25">
      <c r="A123" s="203" t="s">
        <v>104</v>
      </c>
      <c r="B123" s="203"/>
      <c r="C123" s="203"/>
      <c r="D123" s="203"/>
      <c r="E123" s="203"/>
      <c r="F123" s="203"/>
      <c r="G123" s="203"/>
      <c r="H123" s="203"/>
      <c r="I123" s="203"/>
      <c r="J123" s="203"/>
    </row>
    <row r="124" spans="1:12" ht="30" x14ac:dyDescent="0.25">
      <c r="A124" s="21">
        <v>6</v>
      </c>
      <c r="B124" s="204" t="s">
        <v>105</v>
      </c>
      <c r="C124" s="204"/>
      <c r="D124" s="204"/>
      <c r="E124" s="204"/>
      <c r="F124" s="204"/>
      <c r="G124" s="204"/>
      <c r="H124" s="204"/>
      <c r="I124" s="6" t="s">
        <v>44</v>
      </c>
      <c r="J124" s="46" t="s">
        <v>106</v>
      </c>
    </row>
    <row r="125" spans="1:12" ht="15" customHeight="1" x14ac:dyDescent="0.25">
      <c r="A125" s="190" t="s">
        <v>107</v>
      </c>
      <c r="B125" s="190"/>
      <c r="C125" s="190"/>
      <c r="D125" s="190"/>
      <c r="E125" s="190"/>
      <c r="F125" s="190"/>
      <c r="G125" s="190"/>
      <c r="H125" s="190"/>
      <c r="I125" s="47" t="s">
        <v>64</v>
      </c>
      <c r="J125" s="48">
        <f>SUM(J33+J77+J87+J113+J121)</f>
        <v>457.22247272727276</v>
      </c>
    </row>
    <row r="126" spans="1:12" ht="15.75" x14ac:dyDescent="0.25">
      <c r="A126" s="49" t="s">
        <v>5</v>
      </c>
      <c r="B126" s="219" t="s">
        <v>108</v>
      </c>
      <c r="C126" s="219"/>
      <c r="D126" s="219"/>
      <c r="E126" s="219"/>
      <c r="F126" s="219"/>
      <c r="G126" s="219"/>
      <c r="H126" s="219"/>
      <c r="I126" s="22">
        <v>0.03</v>
      </c>
      <c r="J126" s="23">
        <f>ROUND(I126*J125,2)</f>
        <v>13.72</v>
      </c>
      <c r="L126">
        <f>J126*8</f>
        <v>109.76</v>
      </c>
    </row>
    <row r="127" spans="1:12" ht="15" customHeight="1" x14ac:dyDescent="0.25">
      <c r="A127" s="190" t="s">
        <v>109</v>
      </c>
      <c r="B127" s="190"/>
      <c r="C127" s="190"/>
      <c r="D127" s="190"/>
      <c r="E127" s="190"/>
      <c r="F127" s="190"/>
      <c r="G127" s="190"/>
      <c r="H127" s="190"/>
      <c r="I127" s="50" t="s">
        <v>64</v>
      </c>
      <c r="J127" s="48">
        <f>SUM(J33+J77+J87+J113+J121+J126)</f>
        <v>470.94247272727279</v>
      </c>
    </row>
    <row r="128" spans="1:12" ht="15.75" x14ac:dyDescent="0.25">
      <c r="A128" s="49" t="s">
        <v>7</v>
      </c>
      <c r="B128" s="219" t="s">
        <v>110</v>
      </c>
      <c r="C128" s="219"/>
      <c r="D128" s="219"/>
      <c r="E128" s="219"/>
      <c r="F128" s="219"/>
      <c r="G128" s="219"/>
      <c r="H128" s="219"/>
      <c r="I128" s="22">
        <v>3.4189999999999998E-2</v>
      </c>
      <c r="J128" s="23">
        <f>ROUND(I128*J127,2)</f>
        <v>16.100000000000001</v>
      </c>
      <c r="L128" s="80">
        <f>J128*8</f>
        <v>128.80000000000001</v>
      </c>
    </row>
    <row r="129" spans="1:10" ht="15" customHeight="1" x14ac:dyDescent="0.25">
      <c r="A129" s="190" t="s">
        <v>111</v>
      </c>
      <c r="B129" s="190"/>
      <c r="C129" s="190"/>
      <c r="D129" s="190"/>
      <c r="E129" s="190"/>
      <c r="F129" s="190"/>
      <c r="G129" s="190"/>
      <c r="H129" s="190"/>
      <c r="I129" s="50" t="s">
        <v>64</v>
      </c>
      <c r="J129" s="48">
        <f>SUM(J33+J77+J87+J113+J121+J126+J128)</f>
        <v>487.04247272727281</v>
      </c>
    </row>
    <row r="130" spans="1:10" ht="15.75" x14ac:dyDescent="0.25">
      <c r="A130" s="49" t="s">
        <v>10</v>
      </c>
      <c r="B130" s="219" t="s">
        <v>112</v>
      </c>
      <c r="C130" s="219"/>
      <c r="D130" s="219"/>
      <c r="E130" s="219"/>
      <c r="F130" s="219"/>
      <c r="G130" s="219"/>
      <c r="H130" s="219"/>
      <c r="I130" s="14" t="s">
        <v>64</v>
      </c>
      <c r="J130" s="27" t="s">
        <v>64</v>
      </c>
    </row>
    <row r="131" spans="1:10" x14ac:dyDescent="0.25">
      <c r="A131" s="13"/>
      <c r="B131" s="200" t="s">
        <v>113</v>
      </c>
      <c r="C131" s="200"/>
      <c r="D131" s="200"/>
      <c r="E131" s="200"/>
      <c r="F131" s="200"/>
      <c r="G131" s="200"/>
      <c r="H131" s="200"/>
      <c r="I131" s="14" t="s">
        <v>64</v>
      </c>
      <c r="J131" s="27" t="s">
        <v>64</v>
      </c>
    </row>
    <row r="132" spans="1:10" x14ac:dyDescent="0.25">
      <c r="A132" s="13"/>
      <c r="B132" s="200" t="s">
        <v>201</v>
      </c>
      <c r="C132" s="200"/>
      <c r="D132" s="200"/>
      <c r="E132" s="200"/>
      <c r="F132" s="200"/>
      <c r="G132" s="200"/>
      <c r="H132" s="200"/>
      <c r="I132" s="51">
        <v>0.03</v>
      </c>
      <c r="J132" s="23">
        <f>ROUND(($J$129/(1-$I$141))*I132,2)</f>
        <v>15.65</v>
      </c>
    </row>
    <row r="133" spans="1:10" x14ac:dyDescent="0.25">
      <c r="A133" s="13"/>
      <c r="B133" s="200" t="s">
        <v>202</v>
      </c>
      <c r="C133" s="200"/>
      <c r="D133" s="200"/>
      <c r="E133" s="200"/>
      <c r="F133" s="200"/>
      <c r="G133" s="200"/>
      <c r="H133" s="200"/>
      <c r="I133" s="51">
        <v>6.4999999999999997E-3</v>
      </c>
      <c r="J133" s="23">
        <f>ROUND(($J$129/(1-$I$141))*I133,2)</f>
        <v>3.39</v>
      </c>
    </row>
    <row r="134" spans="1:10" x14ac:dyDescent="0.25">
      <c r="A134" s="13"/>
      <c r="B134" s="155" t="s">
        <v>114</v>
      </c>
      <c r="C134" s="155"/>
      <c r="D134" s="155"/>
      <c r="E134" s="155"/>
      <c r="F134" s="155"/>
      <c r="G134" s="155"/>
      <c r="H134" s="155"/>
      <c r="I134" s="52" t="s">
        <v>64</v>
      </c>
      <c r="J134" s="27" t="s">
        <v>64</v>
      </c>
    </row>
    <row r="135" spans="1:10" x14ac:dyDescent="0.25">
      <c r="A135" s="13"/>
      <c r="B135" s="155" t="s">
        <v>115</v>
      </c>
      <c r="C135" s="155"/>
      <c r="D135" s="155"/>
      <c r="E135" s="155"/>
      <c r="F135" s="155"/>
      <c r="G135" s="155"/>
      <c r="H135" s="155"/>
      <c r="I135" s="52" t="s">
        <v>64</v>
      </c>
      <c r="J135" s="27" t="s">
        <v>64</v>
      </c>
    </row>
    <row r="136" spans="1:10" x14ac:dyDescent="0.25">
      <c r="A136" s="13"/>
      <c r="B136" s="200" t="s">
        <v>116</v>
      </c>
      <c r="C136" s="200"/>
      <c r="D136" s="200"/>
      <c r="E136" s="200"/>
      <c r="F136" s="200"/>
      <c r="G136" s="200"/>
      <c r="H136" s="200"/>
      <c r="I136" s="52" t="s">
        <v>64</v>
      </c>
      <c r="J136" s="27" t="s">
        <v>64</v>
      </c>
    </row>
    <row r="137" spans="1:10" x14ac:dyDescent="0.25">
      <c r="A137" s="13"/>
      <c r="B137" s="200" t="s">
        <v>117</v>
      </c>
      <c r="C137" s="200"/>
      <c r="D137" s="200"/>
      <c r="E137" s="200"/>
      <c r="F137" s="200"/>
      <c r="G137" s="200"/>
      <c r="H137" s="200"/>
      <c r="I137" s="52" t="s">
        <v>64</v>
      </c>
      <c r="J137" s="27" t="s">
        <v>64</v>
      </c>
    </row>
    <row r="138" spans="1:10" x14ac:dyDescent="0.25">
      <c r="A138" s="13"/>
      <c r="B138" s="200" t="s">
        <v>203</v>
      </c>
      <c r="C138" s="200"/>
      <c r="D138" s="200"/>
      <c r="E138" s="200"/>
      <c r="F138" s="200"/>
      <c r="G138" s="200"/>
      <c r="H138" s="200"/>
      <c r="I138" s="51">
        <v>0.03</v>
      </c>
      <c r="J138" s="23">
        <f>ROUND(($J$129/(1-$I$141))*I138,2)</f>
        <v>15.65</v>
      </c>
    </row>
    <row r="139" spans="1:10" x14ac:dyDescent="0.25">
      <c r="A139" s="202" t="s">
        <v>39</v>
      </c>
      <c r="B139" s="202"/>
      <c r="C139" s="202"/>
      <c r="D139" s="202"/>
      <c r="E139" s="202"/>
      <c r="F139" s="202"/>
      <c r="G139" s="202"/>
      <c r="H139" s="202"/>
      <c r="I139" s="202"/>
      <c r="J139" s="20">
        <f>SUM(J126+J128+J132+J133+J138)</f>
        <v>64.510000000000005</v>
      </c>
    </row>
    <row r="140" spans="1:10" x14ac:dyDescent="0.2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</row>
    <row r="141" spans="1:10" ht="15" customHeight="1" x14ac:dyDescent="0.25">
      <c r="A141" s="235" t="s">
        <v>119</v>
      </c>
      <c r="B141" s="235"/>
      <c r="C141" s="235"/>
      <c r="D141" s="235"/>
      <c r="E141" s="235"/>
      <c r="F141" s="235"/>
      <c r="G141" s="235"/>
      <c r="H141" s="235"/>
      <c r="I141" s="53">
        <f>SUM(I132:I138)</f>
        <v>6.6500000000000004E-2</v>
      </c>
      <c r="J141" s="48">
        <f>SUM(J132:J138)</f>
        <v>34.69</v>
      </c>
    </row>
    <row r="142" spans="1:10" x14ac:dyDescent="0.25">
      <c r="A142" s="233" t="s">
        <v>120</v>
      </c>
      <c r="B142" s="233"/>
      <c r="C142" s="233"/>
      <c r="D142" s="234" t="s">
        <v>121</v>
      </c>
      <c r="E142" s="234"/>
      <c r="F142" s="234"/>
      <c r="G142" s="234"/>
      <c r="H142" s="234"/>
      <c r="I142" s="234"/>
      <c r="J142" s="234"/>
    </row>
    <row r="143" spans="1:10" x14ac:dyDescent="0.25">
      <c r="A143" s="233"/>
      <c r="B143" s="233"/>
      <c r="C143" s="233"/>
      <c r="D143" s="234" t="s">
        <v>122</v>
      </c>
      <c r="E143" s="234"/>
      <c r="F143" s="234"/>
      <c r="G143" s="234"/>
      <c r="H143" s="234"/>
      <c r="I143" s="234"/>
      <c r="J143" s="234"/>
    </row>
    <row r="144" spans="1:10" x14ac:dyDescent="0.25">
      <c r="A144" s="233"/>
      <c r="B144" s="233"/>
      <c r="C144" s="233"/>
      <c r="D144" s="234" t="s">
        <v>123</v>
      </c>
      <c r="E144" s="234"/>
      <c r="F144" s="234"/>
      <c r="G144" s="234"/>
      <c r="H144" s="234"/>
      <c r="I144" s="234"/>
      <c r="J144" s="234"/>
    </row>
    <row r="145" spans="1:10" x14ac:dyDescent="0.2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</row>
    <row r="146" spans="1:10" ht="15.75" customHeight="1" x14ac:dyDescent="0.25">
      <c r="A146" s="225" t="s">
        <v>124</v>
      </c>
      <c r="B146" s="225"/>
      <c r="C146" s="225"/>
      <c r="D146" s="225"/>
      <c r="E146" s="225"/>
      <c r="F146" s="225"/>
      <c r="G146" s="225"/>
      <c r="H146" s="225"/>
      <c r="I146" s="225"/>
      <c r="J146" s="225"/>
    </row>
    <row r="147" spans="1:10" ht="15" customHeight="1" x14ac:dyDescent="0.25">
      <c r="A147" s="226" t="s">
        <v>125</v>
      </c>
      <c r="B147" s="226"/>
      <c r="C147" s="226"/>
      <c r="D147" s="226"/>
      <c r="E147" s="226"/>
      <c r="F147" s="226"/>
      <c r="G147" s="226"/>
      <c r="H147" s="226"/>
      <c r="I147" s="226"/>
      <c r="J147" s="54" t="s">
        <v>38</v>
      </c>
    </row>
    <row r="148" spans="1:10" ht="15" customHeight="1" x14ac:dyDescent="0.25">
      <c r="A148" s="55" t="s">
        <v>5</v>
      </c>
      <c r="B148" s="223" t="s">
        <v>126</v>
      </c>
      <c r="C148" s="223"/>
      <c r="D148" s="223"/>
      <c r="E148" s="223"/>
      <c r="F148" s="223"/>
      <c r="G148" s="223"/>
      <c r="H148" s="223"/>
      <c r="I148" s="223"/>
      <c r="J148" s="44">
        <f>J33</f>
        <v>255.59247272727276</v>
      </c>
    </row>
    <row r="149" spans="1:10" ht="15" customHeight="1" x14ac:dyDescent="0.25">
      <c r="A149" s="55" t="s">
        <v>7</v>
      </c>
      <c r="B149" s="223" t="s">
        <v>34</v>
      </c>
      <c r="C149" s="223"/>
      <c r="D149" s="223"/>
      <c r="E149" s="223"/>
      <c r="F149" s="223"/>
      <c r="G149" s="223"/>
      <c r="H149" s="223"/>
      <c r="I149" s="223"/>
      <c r="J149" s="44">
        <f>J77</f>
        <v>149.63</v>
      </c>
    </row>
    <row r="150" spans="1:10" ht="15" customHeight="1" x14ac:dyDescent="0.25">
      <c r="A150" s="55" t="s">
        <v>10</v>
      </c>
      <c r="B150" s="223" t="s">
        <v>127</v>
      </c>
      <c r="C150" s="223"/>
      <c r="D150" s="223"/>
      <c r="E150" s="223"/>
      <c r="F150" s="223"/>
      <c r="G150" s="223"/>
      <c r="H150" s="223"/>
      <c r="I150" s="223"/>
      <c r="J150" s="44">
        <f>J87</f>
        <v>20.259999999999998</v>
      </c>
    </row>
    <row r="151" spans="1:10" ht="15" customHeight="1" x14ac:dyDescent="0.25">
      <c r="A151" s="55" t="s">
        <v>12</v>
      </c>
      <c r="B151" s="223" t="s">
        <v>128</v>
      </c>
      <c r="C151" s="223"/>
      <c r="D151" s="223"/>
      <c r="E151" s="223"/>
      <c r="F151" s="223"/>
      <c r="G151" s="223"/>
      <c r="H151" s="223"/>
      <c r="I151" s="223"/>
      <c r="J151" s="44">
        <f>J113</f>
        <v>31.74</v>
      </c>
    </row>
    <row r="152" spans="1:10" ht="15" customHeight="1" x14ac:dyDescent="0.25">
      <c r="A152" s="55" t="s">
        <v>32</v>
      </c>
      <c r="B152" s="223" t="s">
        <v>129</v>
      </c>
      <c r="C152" s="223"/>
      <c r="D152" s="223"/>
      <c r="E152" s="223"/>
      <c r="F152" s="223"/>
      <c r="G152" s="223"/>
      <c r="H152" s="223"/>
      <c r="I152" s="223"/>
      <c r="J152" s="44">
        <f>J121</f>
        <v>0</v>
      </c>
    </row>
    <row r="153" spans="1:10" ht="15" customHeight="1" x14ac:dyDescent="0.25">
      <c r="A153" s="224" t="s">
        <v>130</v>
      </c>
      <c r="B153" s="224"/>
      <c r="C153" s="224"/>
      <c r="D153" s="224"/>
      <c r="E153" s="224"/>
      <c r="F153" s="224"/>
      <c r="G153" s="224"/>
      <c r="H153" s="224"/>
      <c r="I153" s="224"/>
      <c r="J153" s="45">
        <f>SUM(J148:J152)</f>
        <v>457.22247272727276</v>
      </c>
    </row>
    <row r="154" spans="1:10" ht="15" customHeight="1" x14ac:dyDescent="0.25">
      <c r="A154" s="55" t="s">
        <v>53</v>
      </c>
      <c r="B154" s="223" t="s">
        <v>131</v>
      </c>
      <c r="C154" s="223"/>
      <c r="D154" s="223"/>
      <c r="E154" s="223"/>
      <c r="F154" s="223"/>
      <c r="G154" s="223"/>
      <c r="H154" s="223"/>
      <c r="I154" s="223"/>
      <c r="J154" s="44">
        <f>J139</f>
        <v>64.510000000000005</v>
      </c>
    </row>
    <row r="155" spans="1:10" ht="15" customHeight="1" x14ac:dyDescent="0.25">
      <c r="A155" s="224" t="s">
        <v>132</v>
      </c>
      <c r="B155" s="224"/>
      <c r="C155" s="224"/>
      <c r="D155" s="224"/>
      <c r="E155" s="224"/>
      <c r="F155" s="224"/>
      <c r="G155" s="224"/>
      <c r="H155" s="224"/>
      <c r="I155" s="224"/>
      <c r="J155" s="45">
        <f>SUM(J153:J154)</f>
        <v>521.73247272727281</v>
      </c>
    </row>
    <row r="157" spans="1:10" x14ac:dyDescent="0.25">
      <c r="J157" s="56"/>
    </row>
  </sheetData>
  <mergeCells count="170">
    <mergeCell ref="A7:J7"/>
    <mergeCell ref="A8:J8"/>
    <mergeCell ref="B9:G9"/>
    <mergeCell ref="H9:J9"/>
    <mergeCell ref="B10:G10"/>
    <mergeCell ref="H10:J10"/>
    <mergeCell ref="A2:J2"/>
    <mergeCell ref="A3:J3"/>
    <mergeCell ref="A4:J4"/>
    <mergeCell ref="A5:G5"/>
    <mergeCell ref="H5:J5"/>
    <mergeCell ref="A6:G6"/>
    <mergeCell ref="H6:J6"/>
    <mergeCell ref="A14:D14"/>
    <mergeCell ref="E14:G14"/>
    <mergeCell ref="H14:J14"/>
    <mergeCell ref="A15:J15"/>
    <mergeCell ref="A16:J16"/>
    <mergeCell ref="A17:J17"/>
    <mergeCell ref="B11:G11"/>
    <mergeCell ref="H11:J11"/>
    <mergeCell ref="B12:G12"/>
    <mergeCell ref="H12:J12"/>
    <mergeCell ref="A13:D13"/>
    <mergeCell ref="E13:G13"/>
    <mergeCell ref="H13:J13"/>
    <mergeCell ref="B22:G22"/>
    <mergeCell ref="H22:J22"/>
    <mergeCell ref="B23:G23"/>
    <mergeCell ref="H23:J23"/>
    <mergeCell ref="A24:J24"/>
    <mergeCell ref="A25:J25"/>
    <mergeCell ref="A18:J18"/>
    <mergeCell ref="B19:G19"/>
    <mergeCell ref="H19:J19"/>
    <mergeCell ref="B20:G20"/>
    <mergeCell ref="H20:J20"/>
    <mergeCell ref="B21:G21"/>
    <mergeCell ref="H21:J21"/>
    <mergeCell ref="B31:I31"/>
    <mergeCell ref="B32:H32"/>
    <mergeCell ref="A33:I33"/>
    <mergeCell ref="A34:J34"/>
    <mergeCell ref="A35:J35"/>
    <mergeCell ref="A36:J36"/>
    <mergeCell ref="B26:G26"/>
    <mergeCell ref="H26:I26"/>
    <mergeCell ref="B27:I27"/>
    <mergeCell ref="B28:H28"/>
    <mergeCell ref="B29:I29"/>
    <mergeCell ref="B30:I30"/>
    <mergeCell ref="A43:J43"/>
    <mergeCell ref="A44:J44"/>
    <mergeCell ref="B45:H45"/>
    <mergeCell ref="B46:H46"/>
    <mergeCell ref="B47:H47"/>
    <mergeCell ref="B48:D48"/>
    <mergeCell ref="B37:I37"/>
    <mergeCell ref="B38:H38"/>
    <mergeCell ref="B39:H39"/>
    <mergeCell ref="A40:I40"/>
    <mergeCell ref="B41:I41"/>
    <mergeCell ref="A42:I42"/>
    <mergeCell ref="A55:J55"/>
    <mergeCell ref="A56:J56"/>
    <mergeCell ref="B57:I57"/>
    <mergeCell ref="B58:I58"/>
    <mergeCell ref="B59:H59"/>
    <mergeCell ref="B60:H60"/>
    <mergeCell ref="B49:H49"/>
    <mergeCell ref="B50:H50"/>
    <mergeCell ref="B51:H51"/>
    <mergeCell ref="B52:H52"/>
    <mergeCell ref="B53:H53"/>
    <mergeCell ref="A54:H54"/>
    <mergeCell ref="B83:H83"/>
    <mergeCell ref="B84:I84"/>
    <mergeCell ref="B73:I73"/>
    <mergeCell ref="C74:I74"/>
    <mergeCell ref="C75:I75"/>
    <mergeCell ref="C76:I76"/>
    <mergeCell ref="B61:H61"/>
    <mergeCell ref="B62:I62"/>
    <mergeCell ref="B63:H63"/>
    <mergeCell ref="B64:H64"/>
    <mergeCell ref="A77:I77"/>
    <mergeCell ref="A78:J78"/>
    <mergeCell ref="A79:J79"/>
    <mergeCell ref="B80:I80"/>
    <mergeCell ref="B81:I81"/>
    <mergeCell ref="B82:I82"/>
    <mergeCell ref="B93:H93"/>
    <mergeCell ref="A91:J91"/>
    <mergeCell ref="B92:I92"/>
    <mergeCell ref="B94:I94"/>
    <mergeCell ref="B95:I95"/>
    <mergeCell ref="A87:I87"/>
    <mergeCell ref="A88:J88"/>
    <mergeCell ref="B85:I85"/>
    <mergeCell ref="B86:H86"/>
    <mergeCell ref="A89:J89"/>
    <mergeCell ref="A90:I90"/>
    <mergeCell ref="B151:I151"/>
    <mergeCell ref="S27:U27"/>
    <mergeCell ref="B67:H67"/>
    <mergeCell ref="B68:I68"/>
    <mergeCell ref="B69:I69"/>
    <mergeCell ref="A70:I70"/>
    <mergeCell ref="A71:J71"/>
    <mergeCell ref="A72:J72"/>
    <mergeCell ref="B148:I148"/>
    <mergeCell ref="B149:I149"/>
    <mergeCell ref="A142:C144"/>
    <mergeCell ref="D142:J142"/>
    <mergeCell ref="D143:J143"/>
    <mergeCell ref="D144:J144"/>
    <mergeCell ref="A139:I139"/>
    <mergeCell ref="A140:J140"/>
    <mergeCell ref="A141:H141"/>
    <mergeCell ref="B133:H133"/>
    <mergeCell ref="A113:I113"/>
    <mergeCell ref="A114:J114"/>
    <mergeCell ref="A115:J115"/>
    <mergeCell ref="B118:I118"/>
    <mergeCell ref="B119:I119"/>
    <mergeCell ref="B120:I120"/>
    <mergeCell ref="B131:H131"/>
    <mergeCell ref="B96:I96"/>
    <mergeCell ref="B98:I98"/>
    <mergeCell ref="A99:I99"/>
    <mergeCell ref="A101:I101"/>
    <mergeCell ref="A102:J102"/>
    <mergeCell ref="B104:I104"/>
    <mergeCell ref="B103:I103"/>
    <mergeCell ref="A105:I105"/>
    <mergeCell ref="B106:I106"/>
    <mergeCell ref="A121:I121"/>
    <mergeCell ref="A122:J122"/>
    <mergeCell ref="A123:J123"/>
    <mergeCell ref="B124:H124"/>
    <mergeCell ref="B116:I116"/>
    <mergeCell ref="B117:I117"/>
    <mergeCell ref="A109:J109"/>
    <mergeCell ref="B110:I110"/>
    <mergeCell ref="B111:I111"/>
    <mergeCell ref="B112:I112"/>
    <mergeCell ref="B132:H132"/>
    <mergeCell ref="A107:I107"/>
    <mergeCell ref="A108:J108"/>
    <mergeCell ref="B97:I97"/>
    <mergeCell ref="B100:I100"/>
    <mergeCell ref="B154:I154"/>
    <mergeCell ref="A155:I155"/>
    <mergeCell ref="A145:J145"/>
    <mergeCell ref="A146:J146"/>
    <mergeCell ref="A147:I147"/>
    <mergeCell ref="B150:I150"/>
    <mergeCell ref="B152:I152"/>
    <mergeCell ref="A153:I153"/>
    <mergeCell ref="A125:H125"/>
    <mergeCell ref="B126:H126"/>
    <mergeCell ref="A127:H127"/>
    <mergeCell ref="A129:H129"/>
    <mergeCell ref="B136:H136"/>
    <mergeCell ref="B137:H137"/>
    <mergeCell ref="B134:H134"/>
    <mergeCell ref="B135:H135"/>
    <mergeCell ref="B138:H138"/>
    <mergeCell ref="B128:H128"/>
    <mergeCell ref="B130:H130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7"/>
  <sheetViews>
    <sheetView topLeftCell="A142" workbookViewId="0">
      <selection activeCell="B68" sqref="B68:I68"/>
    </sheetView>
  </sheetViews>
  <sheetFormatPr defaultRowHeight="15" x14ac:dyDescent="0.25"/>
  <cols>
    <col min="7" max="7" width="7.7109375" customWidth="1"/>
    <col min="8" max="8" width="11.28515625" customWidth="1"/>
    <col min="9" max="9" width="15.7109375" customWidth="1"/>
    <col min="10" max="10" width="15.42578125" customWidth="1"/>
    <col min="13" max="13" width="13.5703125" bestFit="1" customWidth="1"/>
    <col min="15" max="15" width="10.7109375" customWidth="1"/>
    <col min="16" max="16" width="23.42578125" bestFit="1" customWidth="1"/>
    <col min="17" max="17" width="5.140625" customWidth="1"/>
    <col min="18" max="18" width="2.140625" customWidth="1"/>
    <col min="19" max="19" width="16.5703125" bestFit="1" customWidth="1"/>
  </cols>
  <sheetData>
    <row r="2" spans="1:25" ht="90.75" customHeight="1" x14ac:dyDescent="0.25">
      <c r="A2" s="242" t="s">
        <v>206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25" ht="8.25" customHeight="1" x14ac:dyDescent="0.25">
      <c r="A3" s="245"/>
      <c r="B3" s="246"/>
      <c r="C3" s="246"/>
      <c r="D3" s="246"/>
      <c r="E3" s="246"/>
      <c r="F3" s="246"/>
      <c r="G3" s="246"/>
      <c r="H3" s="246"/>
      <c r="I3" s="246"/>
      <c r="J3" s="247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4"/>
      <c r="S4" s="4"/>
      <c r="T4" s="4"/>
      <c r="U4" s="4"/>
      <c r="V4" s="4"/>
      <c r="W4" s="4"/>
      <c r="X4" s="4"/>
      <c r="Y4" s="4"/>
    </row>
    <row r="5" spans="1:25" x14ac:dyDescent="0.25">
      <c r="A5" s="153" t="s">
        <v>1</v>
      </c>
      <c r="B5" s="153"/>
      <c r="C5" s="153"/>
      <c r="D5" s="153"/>
      <c r="E5" s="153"/>
      <c r="F5" s="153"/>
      <c r="G5" s="153"/>
      <c r="H5" s="154" t="s">
        <v>172</v>
      </c>
      <c r="I5" s="154"/>
      <c r="J5" s="154"/>
    </row>
    <row r="6" spans="1:25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x14ac:dyDescent="0.25">
      <c r="A9" s="5" t="s">
        <v>5</v>
      </c>
      <c r="B9" s="155" t="s">
        <v>6</v>
      </c>
      <c r="C9" s="155"/>
      <c r="D9" s="155"/>
      <c r="E9" s="155"/>
      <c r="F9" s="155"/>
      <c r="G9" s="155"/>
      <c r="H9" s="163">
        <v>43552</v>
      </c>
      <c r="I9" s="163"/>
      <c r="J9" s="163"/>
    </row>
    <row r="10" spans="1:25" x14ac:dyDescent="0.25">
      <c r="A10" s="5" t="s">
        <v>7</v>
      </c>
      <c r="B10" s="155" t="s">
        <v>8</v>
      </c>
      <c r="C10" s="155"/>
      <c r="D10" s="155"/>
      <c r="E10" s="155"/>
      <c r="F10" s="155"/>
      <c r="G10" s="155"/>
      <c r="H10" s="163" t="s">
        <v>9</v>
      </c>
      <c r="I10" s="163"/>
      <c r="J10" s="163"/>
    </row>
    <row r="11" spans="1:25" ht="28.5" customHeight="1" x14ac:dyDescent="0.25">
      <c r="A11" s="5" t="s">
        <v>10</v>
      </c>
      <c r="B11" s="155" t="s">
        <v>11</v>
      </c>
      <c r="C11" s="155"/>
      <c r="D11" s="155"/>
      <c r="E11" s="155"/>
      <c r="F11" s="155"/>
      <c r="G11" s="155"/>
      <c r="H11" s="163" t="s">
        <v>173</v>
      </c>
      <c r="I11" s="163"/>
      <c r="J11" s="163"/>
    </row>
    <row r="12" spans="1:25" x14ac:dyDescent="0.25">
      <c r="A12" s="5" t="s">
        <v>12</v>
      </c>
      <c r="B12" s="155" t="s">
        <v>13</v>
      </c>
      <c r="C12" s="155"/>
      <c r="D12" s="155"/>
      <c r="E12" s="155"/>
      <c r="F12" s="155"/>
      <c r="G12" s="155"/>
      <c r="H12" s="241">
        <v>12</v>
      </c>
      <c r="I12" s="241"/>
      <c r="J12" s="241"/>
    </row>
    <row r="13" spans="1:25" ht="33.7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x14ac:dyDescent="0.25">
      <c r="A14" s="238" t="s">
        <v>174</v>
      </c>
      <c r="B14" s="239"/>
      <c r="C14" s="239"/>
      <c r="D14" s="240"/>
      <c r="E14" s="160" t="s">
        <v>17</v>
      </c>
      <c r="F14" s="160"/>
      <c r="G14" s="160"/>
      <c r="H14" s="161">
        <v>4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x14ac:dyDescent="0.25">
      <c r="A16" s="174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21" x14ac:dyDescent="0.25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21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21" ht="15" customHeight="1" x14ac:dyDescent="0.25">
      <c r="A19" s="5">
        <v>1</v>
      </c>
      <c r="B19" s="155" t="s">
        <v>20</v>
      </c>
      <c r="C19" s="155"/>
      <c r="D19" s="155"/>
      <c r="E19" s="155"/>
      <c r="F19" s="155"/>
      <c r="G19" s="155"/>
      <c r="H19" s="183" t="s">
        <v>204</v>
      </c>
      <c r="I19" s="183"/>
      <c r="J19" s="183"/>
    </row>
    <row r="20" spans="1:21" ht="15" customHeight="1" x14ac:dyDescent="0.25">
      <c r="A20" s="5">
        <v>2</v>
      </c>
      <c r="B20" s="155" t="s">
        <v>21</v>
      </c>
      <c r="C20" s="155"/>
      <c r="D20" s="155"/>
      <c r="E20" s="155"/>
      <c r="F20" s="155"/>
      <c r="G20" s="155"/>
      <c r="H20" s="183"/>
      <c r="I20" s="183"/>
      <c r="J20" s="183"/>
    </row>
    <row r="21" spans="1:21" ht="15" customHeight="1" x14ac:dyDescent="0.25">
      <c r="A21" s="5">
        <v>3</v>
      </c>
      <c r="B21" s="155" t="s">
        <v>22</v>
      </c>
      <c r="C21" s="155"/>
      <c r="D21" s="155"/>
      <c r="E21" s="155"/>
      <c r="F21" s="155"/>
      <c r="G21" s="155"/>
      <c r="H21" s="237">
        <v>1548.59</v>
      </c>
      <c r="I21" s="237"/>
      <c r="J21" s="237"/>
    </row>
    <row r="22" spans="1:21" ht="15" customHeight="1" x14ac:dyDescent="0.25">
      <c r="A22" s="5">
        <v>4</v>
      </c>
      <c r="B22" s="155" t="s">
        <v>23</v>
      </c>
      <c r="C22" s="155"/>
      <c r="D22" s="155"/>
      <c r="E22" s="155"/>
      <c r="F22" s="155"/>
      <c r="G22" s="155"/>
      <c r="H22" s="183"/>
      <c r="I22" s="183"/>
      <c r="J22" s="183"/>
    </row>
    <row r="23" spans="1:21" ht="15" customHeight="1" x14ac:dyDescent="0.25">
      <c r="A23" s="5">
        <v>5</v>
      </c>
      <c r="B23" s="155" t="s">
        <v>24</v>
      </c>
      <c r="C23" s="155"/>
      <c r="D23" s="155"/>
      <c r="E23" s="155"/>
      <c r="F23" s="155"/>
      <c r="G23" s="155"/>
      <c r="H23" s="182">
        <v>44197</v>
      </c>
      <c r="I23" s="183"/>
      <c r="J23" s="183"/>
    </row>
    <row r="24" spans="1:21" x14ac:dyDescent="0.25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21" ht="19.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21" ht="30" customHeight="1" x14ac:dyDescent="0.25">
      <c r="A26" s="6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6" t="s">
        <v>28</v>
      </c>
    </row>
    <row r="27" spans="1:21" ht="15" customHeight="1" x14ac:dyDescent="0.25">
      <c r="A27" s="5" t="s">
        <v>5</v>
      </c>
      <c r="B27" s="155" t="s">
        <v>175</v>
      </c>
      <c r="C27" s="155"/>
      <c r="D27" s="155"/>
      <c r="E27" s="155"/>
      <c r="F27" s="155"/>
      <c r="G27" s="155"/>
      <c r="H27" s="155"/>
      <c r="I27" s="155"/>
      <c r="J27" s="8">
        <v>105.6</v>
      </c>
      <c r="M27" s="58" t="s">
        <v>176</v>
      </c>
      <c r="N27" s="58"/>
      <c r="O27" s="94" t="s">
        <v>177</v>
      </c>
      <c r="P27" s="94" t="s">
        <v>178</v>
      </c>
      <c r="Q27" s="94"/>
      <c r="S27" s="229" t="s">
        <v>179</v>
      </c>
      <c r="T27" s="229"/>
      <c r="U27" s="229"/>
    </row>
    <row r="28" spans="1:21" ht="15" customHeight="1" x14ac:dyDescent="0.25">
      <c r="A28" s="7" t="s">
        <v>7</v>
      </c>
      <c r="B28" s="179" t="s">
        <v>29</v>
      </c>
      <c r="C28" s="180"/>
      <c r="D28" s="180"/>
      <c r="E28" s="180"/>
      <c r="F28" s="180"/>
      <c r="G28" s="180"/>
      <c r="H28" s="181"/>
      <c r="I28" s="51">
        <v>0</v>
      </c>
      <c r="J28" s="8">
        <f>ROUND(I28*J27,2)</f>
        <v>0</v>
      </c>
      <c r="M28" s="95">
        <v>7.04</v>
      </c>
      <c r="N28" s="58"/>
      <c r="O28" s="96">
        <f>M28*50%</f>
        <v>3.52</v>
      </c>
      <c r="P28" s="97">
        <f>O29*6</f>
        <v>63.36</v>
      </c>
      <c r="Q28" s="98"/>
      <c r="S28" s="97">
        <f>P28+P31</f>
        <v>105.6</v>
      </c>
    </row>
    <row r="29" spans="1:21" ht="15" customHeight="1" x14ac:dyDescent="0.25">
      <c r="A29" s="7" t="s">
        <v>10</v>
      </c>
      <c r="B29" s="179" t="s">
        <v>30</v>
      </c>
      <c r="C29" s="180"/>
      <c r="D29" s="180"/>
      <c r="E29" s="180"/>
      <c r="F29" s="180"/>
      <c r="G29" s="180"/>
      <c r="H29" s="180"/>
      <c r="I29" s="181"/>
      <c r="J29" s="8">
        <f>((H21/220)*20%)*(2.3*1)</f>
        <v>3.2379609090909089</v>
      </c>
      <c r="M29" s="58"/>
      <c r="N29" s="58"/>
      <c r="O29" s="83">
        <f>M28+O28</f>
        <v>10.56</v>
      </c>
      <c r="P29" s="98"/>
      <c r="Q29" s="98"/>
      <c r="S29" s="98"/>
    </row>
    <row r="30" spans="1:21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f>((H21/220)*120%)*(1*1)</f>
        <v>8.4468545454545456</v>
      </c>
      <c r="M30" s="58"/>
      <c r="N30" s="58"/>
      <c r="O30" t="s">
        <v>180</v>
      </c>
      <c r="P30" t="s">
        <v>181</v>
      </c>
      <c r="S30" s="98" t="s">
        <v>182</v>
      </c>
    </row>
    <row r="31" spans="1:21" ht="15" customHeight="1" x14ac:dyDescent="0.25">
      <c r="A31" s="7" t="s">
        <v>32</v>
      </c>
      <c r="B31" s="179" t="s">
        <v>183</v>
      </c>
      <c r="C31" s="180"/>
      <c r="D31" s="180"/>
      <c r="E31" s="180"/>
      <c r="F31" s="180"/>
      <c r="G31" s="180"/>
      <c r="H31" s="180"/>
      <c r="I31" s="181"/>
      <c r="J31" s="8">
        <v>0</v>
      </c>
      <c r="M31" s="58"/>
      <c r="N31" s="58"/>
      <c r="O31" s="96">
        <f>M28*2</f>
        <v>14.08</v>
      </c>
      <c r="P31" s="99">
        <f>O32*3</f>
        <v>42.24</v>
      </c>
      <c r="Q31" s="99"/>
      <c r="S31" s="98">
        <v>0</v>
      </c>
    </row>
    <row r="32" spans="1:21" ht="15" customHeight="1" x14ac:dyDescent="0.25">
      <c r="A32" s="5" t="s">
        <v>7</v>
      </c>
      <c r="B32" s="155" t="s">
        <v>184</v>
      </c>
      <c r="C32" s="155"/>
      <c r="D32" s="155"/>
      <c r="E32" s="155"/>
      <c r="F32" s="155"/>
      <c r="G32" s="155"/>
      <c r="H32" s="155"/>
      <c r="I32" s="9"/>
      <c r="J32" s="8">
        <v>20.16</v>
      </c>
      <c r="M32" s="100">
        <f>O29</f>
        <v>10.56</v>
      </c>
      <c r="N32" s="100">
        <f>O32</f>
        <v>14.08</v>
      </c>
      <c r="O32" s="101">
        <f>O31</f>
        <v>14.08</v>
      </c>
      <c r="P32" s="99"/>
      <c r="Q32" s="99"/>
      <c r="S32" s="98"/>
    </row>
    <row r="33" spans="1:16" x14ac:dyDescent="0.25">
      <c r="A33" s="192" t="s">
        <v>33</v>
      </c>
      <c r="B33" s="192"/>
      <c r="C33" s="192"/>
      <c r="D33" s="192"/>
      <c r="E33" s="192"/>
      <c r="F33" s="192"/>
      <c r="G33" s="192"/>
      <c r="H33" s="192"/>
      <c r="I33" s="192"/>
      <c r="J33" s="10">
        <f>SUM(J27:J32)</f>
        <v>137.44481545454545</v>
      </c>
      <c r="M33" s="102">
        <f>AVERAGE(M32:N32)</f>
        <v>12.32</v>
      </c>
      <c r="N33" s="103"/>
      <c r="P33" s="96">
        <f>SUM(P31+P28)</f>
        <v>105.6</v>
      </c>
    </row>
    <row r="34" spans="1:16" x14ac:dyDescent="0.25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6" ht="15" customHeight="1" x14ac:dyDescent="0.25">
      <c r="A35" s="203" t="s">
        <v>34</v>
      </c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6" x14ac:dyDescent="0.25">
      <c r="A36" s="188" t="s">
        <v>35</v>
      </c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6" x14ac:dyDescent="0.25">
      <c r="A37" s="11" t="s">
        <v>36</v>
      </c>
      <c r="B37" s="189" t="s">
        <v>37</v>
      </c>
      <c r="C37" s="189"/>
      <c r="D37" s="189"/>
      <c r="E37" s="189"/>
      <c r="F37" s="189"/>
      <c r="G37" s="189"/>
      <c r="H37" s="189"/>
      <c r="I37" s="189"/>
      <c r="J37" s="12" t="s">
        <v>38</v>
      </c>
    </row>
    <row r="38" spans="1:16" ht="15" customHeight="1" x14ac:dyDescent="0.25">
      <c r="A38" s="13" t="s">
        <v>5</v>
      </c>
      <c r="B38" s="155" t="s">
        <v>185</v>
      </c>
      <c r="C38" s="155"/>
      <c r="D38" s="155"/>
      <c r="E38" s="155"/>
      <c r="F38" s="155"/>
      <c r="G38" s="155"/>
      <c r="H38" s="155"/>
      <c r="I38" s="14">
        <v>8.3299999999999999E-2</v>
      </c>
      <c r="J38" s="15">
        <f>ROUND($J$33*I38,2)</f>
        <v>11.45</v>
      </c>
    </row>
    <row r="39" spans="1:16" ht="15" customHeight="1" x14ac:dyDescent="0.25">
      <c r="A39" s="13" t="s">
        <v>7</v>
      </c>
      <c r="B39" s="190" t="s">
        <v>186</v>
      </c>
      <c r="C39" s="190"/>
      <c r="D39" s="190"/>
      <c r="E39" s="190"/>
      <c r="F39" s="190"/>
      <c r="G39" s="190"/>
      <c r="H39" s="190"/>
      <c r="I39" s="16">
        <v>3.0249999999999999E-2</v>
      </c>
      <c r="J39" s="15">
        <f>ROUND($J$33*I39,2)</f>
        <v>4.16</v>
      </c>
    </row>
    <row r="40" spans="1:16" x14ac:dyDescent="0.25">
      <c r="A40" s="191" t="s">
        <v>39</v>
      </c>
      <c r="B40" s="191"/>
      <c r="C40" s="191"/>
      <c r="D40" s="191"/>
      <c r="E40" s="191"/>
      <c r="F40" s="191"/>
      <c r="G40" s="191"/>
      <c r="H40" s="191"/>
      <c r="I40" s="191"/>
      <c r="J40" s="17">
        <f>SUM(J38+J39)</f>
        <v>15.61</v>
      </c>
    </row>
    <row r="41" spans="1:16" x14ac:dyDescent="0.25">
      <c r="A41" s="18" t="s">
        <v>10</v>
      </c>
      <c r="B41" s="200" t="s">
        <v>40</v>
      </c>
      <c r="C41" s="200"/>
      <c r="D41" s="200"/>
      <c r="E41" s="200"/>
      <c r="F41" s="200"/>
      <c r="G41" s="200"/>
      <c r="H41" s="200"/>
      <c r="I41" s="200"/>
      <c r="J41" s="19">
        <f>ROUND(I54*J40,2)</f>
        <v>5.74</v>
      </c>
    </row>
    <row r="42" spans="1:16" x14ac:dyDescent="0.25">
      <c r="A42" s="202" t="s">
        <v>39</v>
      </c>
      <c r="B42" s="202"/>
      <c r="C42" s="202"/>
      <c r="D42" s="202"/>
      <c r="E42" s="202"/>
      <c r="F42" s="202"/>
      <c r="G42" s="202"/>
      <c r="H42" s="202"/>
      <c r="I42" s="202"/>
      <c r="J42" s="20">
        <f>J40+J41</f>
        <v>21.35</v>
      </c>
    </row>
    <row r="43" spans="1:16" x14ac:dyDescent="0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6" ht="15" customHeight="1" x14ac:dyDescent="0.25">
      <c r="A44" s="203" t="s">
        <v>41</v>
      </c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6" ht="30" x14ac:dyDescent="0.25">
      <c r="A45" s="21" t="s">
        <v>42</v>
      </c>
      <c r="B45" s="204" t="s">
        <v>43</v>
      </c>
      <c r="C45" s="204"/>
      <c r="D45" s="204"/>
      <c r="E45" s="204"/>
      <c r="F45" s="204"/>
      <c r="G45" s="204"/>
      <c r="H45" s="204"/>
      <c r="I45" s="6" t="s">
        <v>44</v>
      </c>
      <c r="J45" s="6" t="s">
        <v>45</v>
      </c>
    </row>
    <row r="46" spans="1:16" x14ac:dyDescent="0.25">
      <c r="A46" s="13" t="s">
        <v>5</v>
      </c>
      <c r="B46" s="200" t="s">
        <v>46</v>
      </c>
      <c r="C46" s="200"/>
      <c r="D46" s="200"/>
      <c r="E46" s="200"/>
      <c r="F46" s="200"/>
      <c r="G46" s="200"/>
      <c r="H46" s="200"/>
      <c r="I46" s="22">
        <v>0.2</v>
      </c>
      <c r="J46" s="23">
        <f t="shared" ref="J46:J53" si="0">ROUND($J$33*I46,2)</f>
        <v>27.49</v>
      </c>
    </row>
    <row r="47" spans="1:16" x14ac:dyDescent="0.25">
      <c r="A47" s="13" t="s">
        <v>7</v>
      </c>
      <c r="B47" s="200" t="s">
        <v>47</v>
      </c>
      <c r="C47" s="200"/>
      <c r="D47" s="200"/>
      <c r="E47" s="200"/>
      <c r="F47" s="200"/>
      <c r="G47" s="200"/>
      <c r="H47" s="200"/>
      <c r="I47" s="22">
        <v>2.5000000000000001E-2</v>
      </c>
      <c r="J47" s="23">
        <f t="shared" si="0"/>
        <v>3.44</v>
      </c>
    </row>
    <row r="48" spans="1:16" x14ac:dyDescent="0.25">
      <c r="A48" s="87" t="s">
        <v>10</v>
      </c>
      <c r="B48" s="236" t="s">
        <v>48</v>
      </c>
      <c r="C48" s="236"/>
      <c r="D48" s="236"/>
      <c r="E48" s="88" t="s">
        <v>49</v>
      </c>
      <c r="F48" s="89">
        <v>0.03</v>
      </c>
      <c r="G48" s="88" t="s">
        <v>50</v>
      </c>
      <c r="H48" s="90">
        <v>1</v>
      </c>
      <c r="I48" s="91">
        <f>F48*H48</f>
        <v>0.03</v>
      </c>
      <c r="J48" s="30">
        <f t="shared" si="0"/>
        <v>4.12</v>
      </c>
    </row>
    <row r="49" spans="1:12" x14ac:dyDescent="0.25">
      <c r="A49" s="104" t="s">
        <v>12</v>
      </c>
      <c r="B49" s="201" t="s">
        <v>187</v>
      </c>
      <c r="C49" s="201"/>
      <c r="D49" s="201"/>
      <c r="E49" s="201"/>
      <c r="F49" s="201"/>
      <c r="G49" s="201"/>
      <c r="H49" s="201"/>
      <c r="I49" s="105">
        <v>1.4999999999999999E-2</v>
      </c>
      <c r="J49" s="106">
        <f t="shared" si="0"/>
        <v>2.06</v>
      </c>
    </row>
    <row r="50" spans="1:12" x14ac:dyDescent="0.25">
      <c r="A50" s="104" t="s">
        <v>32</v>
      </c>
      <c r="B50" s="201" t="s">
        <v>188</v>
      </c>
      <c r="C50" s="201"/>
      <c r="D50" s="201"/>
      <c r="E50" s="201"/>
      <c r="F50" s="201"/>
      <c r="G50" s="201"/>
      <c r="H50" s="201"/>
      <c r="I50" s="105">
        <v>0.01</v>
      </c>
      <c r="J50" s="106">
        <f t="shared" si="0"/>
        <v>1.37</v>
      </c>
    </row>
    <row r="51" spans="1:12" x14ac:dyDescent="0.25">
      <c r="A51" s="13" t="s">
        <v>53</v>
      </c>
      <c r="B51" s="200" t="s">
        <v>54</v>
      </c>
      <c r="C51" s="200"/>
      <c r="D51" s="200"/>
      <c r="E51" s="200"/>
      <c r="F51" s="200"/>
      <c r="G51" s="200"/>
      <c r="H51" s="200"/>
      <c r="I51" s="22">
        <v>6.0000000000000001E-3</v>
      </c>
      <c r="J51" s="23">
        <f t="shared" si="0"/>
        <v>0.82</v>
      </c>
    </row>
    <row r="52" spans="1:12" x14ac:dyDescent="0.25">
      <c r="A52" s="13" t="s">
        <v>55</v>
      </c>
      <c r="B52" s="200" t="s">
        <v>56</v>
      </c>
      <c r="C52" s="200"/>
      <c r="D52" s="200"/>
      <c r="E52" s="200"/>
      <c r="F52" s="200"/>
      <c r="G52" s="200"/>
      <c r="H52" s="200"/>
      <c r="I52" s="22">
        <v>2E-3</v>
      </c>
      <c r="J52" s="23">
        <f t="shared" si="0"/>
        <v>0.27</v>
      </c>
    </row>
    <row r="53" spans="1:12" x14ac:dyDescent="0.25">
      <c r="A53" s="13" t="s">
        <v>57</v>
      </c>
      <c r="B53" s="200" t="s">
        <v>58</v>
      </c>
      <c r="C53" s="200"/>
      <c r="D53" s="200"/>
      <c r="E53" s="200"/>
      <c r="F53" s="200"/>
      <c r="G53" s="200"/>
      <c r="H53" s="200"/>
      <c r="I53" s="22">
        <v>0.08</v>
      </c>
      <c r="J53" s="23">
        <f t="shared" si="0"/>
        <v>11</v>
      </c>
    </row>
    <row r="54" spans="1:12" x14ac:dyDescent="0.25">
      <c r="A54" s="202" t="s">
        <v>39</v>
      </c>
      <c r="B54" s="202"/>
      <c r="C54" s="202"/>
      <c r="D54" s="202"/>
      <c r="E54" s="202"/>
      <c r="F54" s="202"/>
      <c r="G54" s="202"/>
      <c r="H54" s="202"/>
      <c r="I54" s="25">
        <f>SUM(I46:I53)</f>
        <v>0.36800000000000005</v>
      </c>
      <c r="J54" s="20">
        <f>SUM(J46:J53)</f>
        <v>50.57</v>
      </c>
    </row>
    <row r="55" spans="1:12" x14ac:dyDescent="0.25">
      <c r="A55" s="171"/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2" ht="15" customHeight="1" x14ac:dyDescent="0.25">
      <c r="A56" s="203" t="s">
        <v>59</v>
      </c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2" x14ac:dyDescent="0.25">
      <c r="A57" s="21" t="s">
        <v>60</v>
      </c>
      <c r="B57" s="204" t="s">
        <v>61</v>
      </c>
      <c r="C57" s="204"/>
      <c r="D57" s="204"/>
      <c r="E57" s="204"/>
      <c r="F57" s="204"/>
      <c r="G57" s="204"/>
      <c r="H57" s="204"/>
      <c r="I57" s="204"/>
      <c r="J57" s="6" t="s">
        <v>38</v>
      </c>
    </row>
    <row r="58" spans="1:12" x14ac:dyDescent="0.25">
      <c r="A58" s="13" t="s">
        <v>5</v>
      </c>
      <c r="B58" s="200" t="s">
        <v>62</v>
      </c>
      <c r="C58" s="200"/>
      <c r="D58" s="200"/>
      <c r="E58" s="200"/>
      <c r="F58" s="200"/>
      <c r="G58" s="200"/>
      <c r="H58" s="200"/>
      <c r="I58" s="200"/>
      <c r="J58" s="23">
        <f>I59*I60</f>
        <v>8.5</v>
      </c>
      <c r="L58">
        <f>J58*8</f>
        <v>68</v>
      </c>
    </row>
    <row r="59" spans="1:12" ht="15" customHeight="1" x14ac:dyDescent="0.25">
      <c r="A59" s="13"/>
      <c r="B59" s="230" t="s">
        <v>63</v>
      </c>
      <c r="C59" s="231"/>
      <c r="D59" s="231"/>
      <c r="E59" s="231"/>
      <c r="F59" s="231"/>
      <c r="G59" s="231"/>
      <c r="H59" s="232"/>
      <c r="I59" s="26">
        <v>4.25</v>
      </c>
      <c r="J59" s="27" t="s">
        <v>64</v>
      </c>
    </row>
    <row r="60" spans="1:12" x14ac:dyDescent="0.25">
      <c r="A60" s="13"/>
      <c r="B60" s="208" t="s">
        <v>65</v>
      </c>
      <c r="C60" s="208"/>
      <c r="D60" s="208"/>
      <c r="E60" s="208"/>
      <c r="F60" s="208"/>
      <c r="G60" s="208"/>
      <c r="H60" s="208"/>
      <c r="I60" s="28">
        <v>2</v>
      </c>
      <c r="J60" s="27"/>
    </row>
    <row r="61" spans="1:12" x14ac:dyDescent="0.25">
      <c r="A61" s="13"/>
      <c r="B61" s="208" t="s">
        <v>66</v>
      </c>
      <c r="C61" s="208"/>
      <c r="D61" s="208"/>
      <c r="E61" s="208"/>
      <c r="F61" s="208"/>
      <c r="G61" s="208"/>
      <c r="H61" s="208"/>
      <c r="I61" s="29">
        <v>1</v>
      </c>
      <c r="J61" s="27"/>
    </row>
    <row r="62" spans="1:12" x14ac:dyDescent="0.25">
      <c r="A62" s="13" t="s">
        <v>7</v>
      </c>
      <c r="B62" s="200" t="s">
        <v>67</v>
      </c>
      <c r="C62" s="200"/>
      <c r="D62" s="200"/>
      <c r="E62" s="200"/>
      <c r="F62" s="200"/>
      <c r="G62" s="200"/>
      <c r="H62" s="200"/>
      <c r="I62" s="200"/>
      <c r="J62" s="30">
        <f>I63</f>
        <v>18.2</v>
      </c>
    </row>
    <row r="63" spans="1:12" x14ac:dyDescent="0.25">
      <c r="A63" s="13"/>
      <c r="B63" s="208" t="s">
        <v>68</v>
      </c>
      <c r="C63" s="208"/>
      <c r="D63" s="208"/>
      <c r="E63" s="208"/>
      <c r="F63" s="208"/>
      <c r="G63" s="208"/>
      <c r="H63" s="208"/>
      <c r="I63" s="31">
        <v>18.2</v>
      </c>
      <c r="J63" s="27" t="s">
        <v>64</v>
      </c>
    </row>
    <row r="64" spans="1:12" ht="15" customHeight="1" x14ac:dyDescent="0.25">
      <c r="A64" s="32"/>
      <c r="B64" s="230" t="s">
        <v>69</v>
      </c>
      <c r="C64" s="231"/>
      <c r="D64" s="231"/>
      <c r="E64" s="231"/>
      <c r="F64" s="231"/>
      <c r="G64" s="231"/>
      <c r="H64" s="232"/>
      <c r="I64" s="29">
        <v>1</v>
      </c>
      <c r="J64" s="27"/>
    </row>
    <row r="65" spans="1:10" x14ac:dyDescent="0.25">
      <c r="A65" s="32"/>
      <c r="B65" s="107" t="s">
        <v>189</v>
      </c>
      <c r="C65" s="107"/>
      <c r="D65" s="107"/>
      <c r="E65" s="107"/>
      <c r="F65" s="107"/>
      <c r="G65" s="107"/>
      <c r="H65" s="107"/>
      <c r="I65" s="29"/>
      <c r="J65" s="30">
        <f>ROUND(I67*I66*(1-0.19),2)*1+ROUND(21.726*6*(1-0.19),2)*0</f>
        <v>0</v>
      </c>
    </row>
    <row r="66" spans="1:10" x14ac:dyDescent="0.25">
      <c r="A66" s="32"/>
      <c r="B66" s="107" t="s">
        <v>190</v>
      </c>
      <c r="C66" s="107"/>
      <c r="D66" s="107"/>
      <c r="E66" s="107"/>
      <c r="F66" s="107"/>
      <c r="G66" s="107"/>
      <c r="H66" s="107"/>
      <c r="I66" s="57">
        <v>9.1</v>
      </c>
      <c r="J66" s="27" t="s">
        <v>64</v>
      </c>
    </row>
    <row r="67" spans="1:10" ht="15" customHeight="1" x14ac:dyDescent="0.25">
      <c r="A67" s="32"/>
      <c r="B67" s="230" t="s">
        <v>191</v>
      </c>
      <c r="C67" s="231"/>
      <c r="D67" s="231"/>
      <c r="E67" s="231"/>
      <c r="F67" s="231"/>
      <c r="G67" s="231"/>
      <c r="H67" s="232"/>
      <c r="I67" s="29">
        <v>0</v>
      </c>
      <c r="J67" s="27"/>
    </row>
    <row r="68" spans="1:10" ht="15" customHeight="1" x14ac:dyDescent="0.25">
      <c r="A68" s="13" t="s">
        <v>12</v>
      </c>
      <c r="B68" s="155" t="s">
        <v>70</v>
      </c>
      <c r="C68" s="155"/>
      <c r="D68" s="155"/>
      <c r="E68" s="155"/>
      <c r="F68" s="155"/>
      <c r="G68" s="155"/>
      <c r="H68" s="155"/>
      <c r="I68" s="155"/>
      <c r="J68" s="23"/>
    </row>
    <row r="69" spans="1:10" ht="15" customHeight="1" x14ac:dyDescent="0.25">
      <c r="A69" s="13" t="s">
        <v>32</v>
      </c>
      <c r="B69" s="155" t="s">
        <v>192</v>
      </c>
      <c r="C69" s="155"/>
      <c r="D69" s="155"/>
      <c r="E69" s="155"/>
      <c r="F69" s="155"/>
      <c r="G69" s="155"/>
      <c r="H69" s="155"/>
      <c r="I69" s="155"/>
      <c r="J69" s="44">
        <v>0</v>
      </c>
    </row>
    <row r="70" spans="1:10" x14ac:dyDescent="0.25">
      <c r="A70" s="202" t="s">
        <v>33</v>
      </c>
      <c r="B70" s="202"/>
      <c r="C70" s="202"/>
      <c r="D70" s="202"/>
      <c r="E70" s="202"/>
      <c r="F70" s="202"/>
      <c r="G70" s="202"/>
      <c r="H70" s="202"/>
      <c r="I70" s="202"/>
      <c r="J70" s="20">
        <f>SUM(J58:J69)</f>
        <v>26.7</v>
      </c>
    </row>
    <row r="71" spans="1:10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</row>
    <row r="72" spans="1:10" ht="15" customHeight="1" x14ac:dyDescent="0.25">
      <c r="A72" s="203" t="s">
        <v>72</v>
      </c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5" customHeight="1" x14ac:dyDescent="0.25">
      <c r="A73" s="6">
        <v>2</v>
      </c>
      <c r="B73" s="165" t="s">
        <v>73</v>
      </c>
      <c r="C73" s="165"/>
      <c r="D73" s="165"/>
      <c r="E73" s="165"/>
      <c r="F73" s="165"/>
      <c r="G73" s="165"/>
      <c r="H73" s="165"/>
      <c r="I73" s="165"/>
      <c r="J73" s="6" t="s">
        <v>38</v>
      </c>
    </row>
    <row r="74" spans="1:10" ht="15" customHeight="1" x14ac:dyDescent="0.25">
      <c r="A74" s="34" t="s">
        <v>36</v>
      </c>
      <c r="B74" s="34"/>
      <c r="C74" s="210" t="s">
        <v>74</v>
      </c>
      <c r="D74" s="210"/>
      <c r="E74" s="210"/>
      <c r="F74" s="210"/>
      <c r="G74" s="210"/>
      <c r="H74" s="210"/>
      <c r="I74" s="210"/>
      <c r="J74" s="35">
        <f>J42</f>
        <v>21.35</v>
      </c>
    </row>
    <row r="75" spans="1:10" ht="15" customHeight="1" x14ac:dyDescent="0.25">
      <c r="A75" s="34" t="s">
        <v>42</v>
      </c>
      <c r="B75" s="34"/>
      <c r="C75" s="210" t="s">
        <v>43</v>
      </c>
      <c r="D75" s="210"/>
      <c r="E75" s="210"/>
      <c r="F75" s="210"/>
      <c r="G75" s="210"/>
      <c r="H75" s="210"/>
      <c r="I75" s="210"/>
      <c r="J75" s="35">
        <f>J54</f>
        <v>50.57</v>
      </c>
    </row>
    <row r="76" spans="1:10" ht="15" customHeight="1" x14ac:dyDescent="0.25">
      <c r="A76" s="34" t="s">
        <v>60</v>
      </c>
      <c r="B76" s="34"/>
      <c r="C76" s="210" t="s">
        <v>61</v>
      </c>
      <c r="D76" s="210"/>
      <c r="E76" s="210"/>
      <c r="F76" s="210"/>
      <c r="G76" s="210"/>
      <c r="H76" s="210"/>
      <c r="I76" s="210"/>
      <c r="J76" s="35">
        <f>J70</f>
        <v>26.7</v>
      </c>
    </row>
    <row r="77" spans="1:10" x14ac:dyDescent="0.25">
      <c r="A77" s="211" t="s">
        <v>39</v>
      </c>
      <c r="B77" s="211"/>
      <c r="C77" s="211"/>
      <c r="D77" s="211"/>
      <c r="E77" s="211"/>
      <c r="F77" s="211"/>
      <c r="G77" s="211"/>
      <c r="H77" s="211"/>
      <c r="I77" s="211"/>
      <c r="J77" s="36">
        <f>SUM(J74+J75+J76)</f>
        <v>98.62</v>
      </c>
    </row>
    <row r="78" spans="1:10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</row>
    <row r="79" spans="1:10" ht="15" customHeight="1" x14ac:dyDescent="0.25">
      <c r="A79" s="203" t="s">
        <v>75</v>
      </c>
      <c r="B79" s="203"/>
      <c r="C79" s="203"/>
      <c r="D79" s="203"/>
      <c r="E79" s="203"/>
      <c r="F79" s="203"/>
      <c r="G79" s="203"/>
      <c r="H79" s="203"/>
      <c r="I79" s="203"/>
      <c r="J79" s="203"/>
    </row>
    <row r="80" spans="1:10" ht="15" customHeight="1" x14ac:dyDescent="0.25">
      <c r="A80" s="21">
        <v>3</v>
      </c>
      <c r="B80" s="165" t="s">
        <v>76</v>
      </c>
      <c r="C80" s="165"/>
      <c r="D80" s="165"/>
      <c r="E80" s="165"/>
      <c r="F80" s="165"/>
      <c r="G80" s="165"/>
      <c r="H80" s="165"/>
      <c r="I80" s="165"/>
      <c r="J80" s="21" t="s">
        <v>77</v>
      </c>
    </row>
    <row r="81" spans="1:10" ht="15" customHeight="1" x14ac:dyDescent="0.25">
      <c r="A81" s="13" t="s">
        <v>5</v>
      </c>
      <c r="B81" s="155" t="s">
        <v>193</v>
      </c>
      <c r="C81" s="155"/>
      <c r="D81" s="155"/>
      <c r="E81" s="155"/>
      <c r="F81" s="155"/>
      <c r="G81" s="155"/>
      <c r="H81" s="155"/>
      <c r="I81" s="155"/>
      <c r="J81" s="23">
        <f>ROUND((($J$33/12)+($J$38/12)+($J$33/12/12)+($J$39/12))*(30/30)*0.05,2)</f>
        <v>0.69</v>
      </c>
    </row>
    <row r="82" spans="1:10" ht="15" customHeight="1" x14ac:dyDescent="0.25">
      <c r="A82" s="13" t="s">
        <v>7</v>
      </c>
      <c r="B82" s="155" t="s">
        <v>78</v>
      </c>
      <c r="C82" s="155"/>
      <c r="D82" s="155"/>
      <c r="E82" s="155"/>
      <c r="F82" s="155"/>
      <c r="G82" s="155"/>
      <c r="H82" s="155"/>
      <c r="I82" s="155"/>
      <c r="J82" s="23">
        <f>ROUND($J$81*I53,2)</f>
        <v>0.06</v>
      </c>
    </row>
    <row r="83" spans="1:10" ht="15" customHeight="1" x14ac:dyDescent="0.25">
      <c r="A83" s="13" t="s">
        <v>10</v>
      </c>
      <c r="B83" s="155" t="s">
        <v>194</v>
      </c>
      <c r="C83" s="155"/>
      <c r="D83" s="155"/>
      <c r="E83" s="155"/>
      <c r="F83" s="155"/>
      <c r="G83" s="155"/>
      <c r="H83" s="155"/>
      <c r="I83" s="37">
        <v>2.3999999999999998E-3</v>
      </c>
      <c r="J83" s="23">
        <f>ROUND($J$33*I83,2)</f>
        <v>0.33</v>
      </c>
    </row>
    <row r="84" spans="1:10" ht="15" customHeight="1" x14ac:dyDescent="0.25">
      <c r="A84" s="13" t="s">
        <v>12</v>
      </c>
      <c r="B84" s="155" t="s">
        <v>195</v>
      </c>
      <c r="C84" s="155"/>
      <c r="D84" s="155"/>
      <c r="E84" s="155"/>
      <c r="F84" s="155"/>
      <c r="G84" s="155"/>
      <c r="H84" s="155"/>
      <c r="I84" s="155"/>
      <c r="J84" s="23">
        <f>ROUND(((($J$33/30)*7)/$H$12)*0.9,2)</f>
        <v>2.41</v>
      </c>
    </row>
    <row r="85" spans="1:10" ht="15" customHeight="1" x14ac:dyDescent="0.25">
      <c r="A85" s="13" t="s">
        <v>32</v>
      </c>
      <c r="B85" s="155" t="s">
        <v>79</v>
      </c>
      <c r="C85" s="155"/>
      <c r="D85" s="155"/>
      <c r="E85" s="155"/>
      <c r="F85" s="155"/>
      <c r="G85" s="155"/>
      <c r="H85" s="155"/>
      <c r="I85" s="155"/>
      <c r="J85" s="23">
        <f>ROUND($I$54*J84,2)</f>
        <v>0.89</v>
      </c>
    </row>
    <row r="86" spans="1:10" ht="15" customHeight="1" x14ac:dyDescent="0.25">
      <c r="A86" s="13" t="s">
        <v>53</v>
      </c>
      <c r="B86" s="155" t="s">
        <v>196</v>
      </c>
      <c r="C86" s="155"/>
      <c r="D86" s="155"/>
      <c r="E86" s="155"/>
      <c r="F86" s="155"/>
      <c r="G86" s="155"/>
      <c r="H86" s="155"/>
      <c r="I86" s="37">
        <v>4.7599999999999996E-2</v>
      </c>
      <c r="J86" s="23">
        <f>ROUND($J$33*I86,2)</f>
        <v>6.54</v>
      </c>
    </row>
    <row r="87" spans="1:10" x14ac:dyDescent="0.25">
      <c r="A87" s="202" t="s">
        <v>39</v>
      </c>
      <c r="B87" s="202"/>
      <c r="C87" s="202"/>
      <c r="D87" s="202"/>
      <c r="E87" s="202"/>
      <c r="F87" s="202"/>
      <c r="G87" s="202"/>
      <c r="H87" s="202"/>
      <c r="I87" s="202"/>
      <c r="J87" s="20">
        <f>SUM(J81:J86)</f>
        <v>10.92</v>
      </c>
    </row>
    <row r="88" spans="1:10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5" customHeight="1" x14ac:dyDescent="0.25">
      <c r="A89" s="203" t="s">
        <v>80</v>
      </c>
      <c r="B89" s="203"/>
      <c r="C89" s="203"/>
      <c r="D89" s="203"/>
      <c r="E89" s="203"/>
      <c r="F89" s="203"/>
      <c r="G89" s="203"/>
      <c r="H89" s="203"/>
      <c r="I89" s="203"/>
      <c r="J89" s="203"/>
    </row>
    <row r="90" spans="1:10" ht="15" customHeight="1" x14ac:dyDescent="0.25">
      <c r="A90" s="215" t="s">
        <v>81</v>
      </c>
      <c r="B90" s="215"/>
      <c r="C90" s="215"/>
      <c r="D90" s="215"/>
      <c r="E90" s="215"/>
      <c r="F90" s="215"/>
      <c r="G90" s="215"/>
      <c r="H90" s="215"/>
      <c r="I90" s="215"/>
      <c r="J90" s="38">
        <f>J93+J33+J38+J39</f>
        <v>165.52481545454543</v>
      </c>
    </row>
    <row r="91" spans="1:10" x14ac:dyDescent="0.25">
      <c r="A91" s="216"/>
      <c r="B91" s="216"/>
      <c r="C91" s="216"/>
      <c r="D91" s="216"/>
      <c r="E91" s="216"/>
      <c r="F91" s="216"/>
      <c r="G91" s="216"/>
      <c r="H91" s="216"/>
      <c r="I91" s="216"/>
      <c r="J91" s="216"/>
    </row>
    <row r="92" spans="1:10" x14ac:dyDescent="0.25">
      <c r="A92" s="39" t="s">
        <v>82</v>
      </c>
      <c r="B92" s="204" t="s">
        <v>83</v>
      </c>
      <c r="C92" s="204"/>
      <c r="D92" s="204"/>
      <c r="E92" s="204"/>
      <c r="F92" s="204"/>
      <c r="G92" s="204"/>
      <c r="H92" s="204"/>
      <c r="I92" s="204"/>
      <c r="J92" s="39" t="s">
        <v>38</v>
      </c>
    </row>
    <row r="93" spans="1:10" ht="15" customHeight="1" x14ac:dyDescent="0.25">
      <c r="A93" s="18" t="s">
        <v>5</v>
      </c>
      <c r="B93" s="155" t="s">
        <v>84</v>
      </c>
      <c r="C93" s="155"/>
      <c r="D93" s="155"/>
      <c r="E93" s="155"/>
      <c r="F93" s="155"/>
      <c r="G93" s="155"/>
      <c r="H93" s="155"/>
      <c r="I93" s="16">
        <v>9.0749999999999997E-2</v>
      </c>
      <c r="J93" s="23">
        <f>ROUND(($J$33*I93),2)</f>
        <v>12.47</v>
      </c>
    </row>
    <row r="94" spans="1:10" s="110" customFormat="1" ht="15" customHeight="1" x14ac:dyDescent="0.25">
      <c r="A94" s="108" t="s">
        <v>7</v>
      </c>
      <c r="B94" s="155" t="s">
        <v>197</v>
      </c>
      <c r="C94" s="155"/>
      <c r="D94" s="155"/>
      <c r="E94" s="155"/>
      <c r="F94" s="155"/>
      <c r="G94" s="155"/>
      <c r="H94" s="155"/>
      <c r="I94" s="155"/>
      <c r="J94" s="109"/>
    </row>
    <row r="95" spans="1:10" s="110" customFormat="1" ht="15" customHeight="1" x14ac:dyDescent="0.25">
      <c r="A95" s="108" t="s">
        <v>10</v>
      </c>
      <c r="B95" s="155" t="s">
        <v>198</v>
      </c>
      <c r="C95" s="155"/>
      <c r="D95" s="155"/>
      <c r="E95" s="155"/>
      <c r="F95" s="155"/>
      <c r="G95" s="155"/>
      <c r="H95" s="155"/>
      <c r="I95" s="155"/>
      <c r="J95" s="109"/>
    </row>
    <row r="96" spans="1:10" s="110" customFormat="1" ht="15" customHeight="1" x14ac:dyDescent="0.25">
      <c r="A96" s="108" t="s">
        <v>12</v>
      </c>
      <c r="B96" s="155" t="s">
        <v>85</v>
      </c>
      <c r="C96" s="155"/>
      <c r="D96" s="155"/>
      <c r="E96" s="155"/>
      <c r="F96" s="155"/>
      <c r="G96" s="155"/>
      <c r="H96" s="155"/>
      <c r="I96" s="155"/>
      <c r="J96" s="111"/>
    </row>
    <row r="97" spans="1:10" s="110" customFormat="1" ht="15" customHeight="1" x14ac:dyDescent="0.25">
      <c r="A97" s="108" t="s">
        <v>32</v>
      </c>
      <c r="B97" s="155" t="s">
        <v>199</v>
      </c>
      <c r="C97" s="155"/>
      <c r="D97" s="155"/>
      <c r="E97" s="155"/>
      <c r="F97" s="155"/>
      <c r="G97" s="155"/>
      <c r="H97" s="155"/>
      <c r="I97" s="155"/>
      <c r="J97" s="112"/>
    </row>
    <row r="98" spans="1:10" s="110" customFormat="1" ht="15" customHeight="1" x14ac:dyDescent="0.25">
      <c r="A98" s="113" t="s">
        <v>53</v>
      </c>
      <c r="B98" s="216" t="s">
        <v>200</v>
      </c>
      <c r="C98" s="216"/>
      <c r="D98" s="216"/>
      <c r="E98" s="216"/>
      <c r="F98" s="216"/>
      <c r="G98" s="216"/>
      <c r="H98" s="216"/>
      <c r="I98" s="216"/>
      <c r="J98" s="111"/>
    </row>
    <row r="99" spans="1:10" x14ac:dyDescent="0.25">
      <c r="A99" s="202" t="s">
        <v>39</v>
      </c>
      <c r="B99" s="202"/>
      <c r="C99" s="202"/>
      <c r="D99" s="202"/>
      <c r="E99" s="202"/>
      <c r="F99" s="202"/>
      <c r="G99" s="202"/>
      <c r="H99" s="202"/>
      <c r="I99" s="202"/>
      <c r="J99" s="42">
        <f>SUM(J93:J98)</f>
        <v>12.47</v>
      </c>
    </row>
    <row r="100" spans="1:10" x14ac:dyDescent="0.25">
      <c r="A100" s="18" t="s">
        <v>55</v>
      </c>
      <c r="B100" s="200" t="s">
        <v>86</v>
      </c>
      <c r="C100" s="200"/>
      <c r="D100" s="200"/>
      <c r="E100" s="200"/>
      <c r="F100" s="200"/>
      <c r="G100" s="200"/>
      <c r="H100" s="200"/>
      <c r="I100" s="200"/>
      <c r="J100" s="19">
        <f>ROUND(I54*J99,2)</f>
        <v>4.59</v>
      </c>
    </row>
    <row r="101" spans="1:10" x14ac:dyDescent="0.25">
      <c r="A101" s="202" t="s">
        <v>39</v>
      </c>
      <c r="B101" s="202"/>
      <c r="C101" s="202"/>
      <c r="D101" s="202"/>
      <c r="E101" s="202"/>
      <c r="F101" s="202"/>
      <c r="G101" s="202"/>
      <c r="H101" s="202"/>
      <c r="I101" s="202"/>
      <c r="J101" s="20">
        <f>SUM(J99:J100)</f>
        <v>17.060000000000002</v>
      </c>
    </row>
    <row r="102" spans="1:10" ht="15" customHeight="1" x14ac:dyDescent="0.25">
      <c r="A102" s="203" t="s">
        <v>87</v>
      </c>
      <c r="B102" s="203"/>
      <c r="C102" s="203"/>
      <c r="D102" s="203"/>
      <c r="E102" s="203"/>
      <c r="F102" s="203"/>
      <c r="G102" s="203"/>
      <c r="H102" s="203"/>
      <c r="I102" s="203"/>
      <c r="J102" s="203"/>
    </row>
    <row r="103" spans="1:10" x14ac:dyDescent="0.25">
      <c r="A103" s="21" t="s">
        <v>88</v>
      </c>
      <c r="B103" s="204" t="s">
        <v>89</v>
      </c>
      <c r="C103" s="204"/>
      <c r="D103" s="204"/>
      <c r="E103" s="204"/>
      <c r="F103" s="204"/>
      <c r="G103" s="204"/>
      <c r="H103" s="204"/>
      <c r="I103" s="204"/>
      <c r="J103" s="43" t="s">
        <v>38</v>
      </c>
    </row>
    <row r="104" spans="1:10" x14ac:dyDescent="0.25">
      <c r="A104" s="13" t="s">
        <v>5</v>
      </c>
      <c r="B104" s="200" t="s">
        <v>90</v>
      </c>
      <c r="C104" s="200"/>
      <c r="D104" s="200"/>
      <c r="E104" s="200"/>
      <c r="F104" s="200"/>
      <c r="G104" s="200"/>
      <c r="H104" s="200"/>
      <c r="I104" s="200"/>
      <c r="J104" s="23">
        <v>0</v>
      </c>
    </row>
    <row r="105" spans="1:10" x14ac:dyDescent="0.25">
      <c r="A105" s="218" t="s">
        <v>39</v>
      </c>
      <c r="B105" s="218"/>
      <c r="C105" s="218"/>
      <c r="D105" s="218"/>
      <c r="E105" s="218"/>
      <c r="F105" s="218"/>
      <c r="G105" s="218"/>
      <c r="H105" s="218"/>
      <c r="I105" s="218"/>
      <c r="J105" s="23">
        <v>0</v>
      </c>
    </row>
    <row r="106" spans="1:10" x14ac:dyDescent="0.25">
      <c r="A106" s="18" t="s">
        <v>7</v>
      </c>
      <c r="B106" s="200" t="s">
        <v>91</v>
      </c>
      <c r="C106" s="200"/>
      <c r="D106" s="200"/>
      <c r="E106" s="200"/>
      <c r="F106" s="200"/>
      <c r="G106" s="200"/>
      <c r="H106" s="200"/>
      <c r="I106" s="200"/>
      <c r="J106" s="19">
        <f>ROUND(I54*J105,2)</f>
        <v>0</v>
      </c>
    </row>
    <row r="107" spans="1:10" x14ac:dyDescent="0.25">
      <c r="A107" s="202" t="s">
        <v>39</v>
      </c>
      <c r="B107" s="202"/>
      <c r="C107" s="202"/>
      <c r="D107" s="202"/>
      <c r="E107" s="202"/>
      <c r="F107" s="202"/>
      <c r="G107" s="202"/>
      <c r="H107" s="202"/>
      <c r="I107" s="202"/>
      <c r="J107" s="20">
        <f>SUM(J105:J106)</f>
        <v>0</v>
      </c>
    </row>
    <row r="108" spans="1:10" x14ac:dyDescent="0.2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</row>
    <row r="109" spans="1:10" ht="15" customHeight="1" x14ac:dyDescent="0.25">
      <c r="A109" s="203" t="s">
        <v>92</v>
      </c>
      <c r="B109" s="203"/>
      <c r="C109" s="203"/>
      <c r="D109" s="203"/>
      <c r="E109" s="203"/>
      <c r="F109" s="203"/>
      <c r="G109" s="203"/>
      <c r="H109" s="203"/>
      <c r="I109" s="203"/>
      <c r="J109" s="203"/>
    </row>
    <row r="110" spans="1:10" ht="15" customHeight="1" x14ac:dyDescent="0.25">
      <c r="A110" s="6">
        <v>4</v>
      </c>
      <c r="B110" s="165" t="s">
        <v>93</v>
      </c>
      <c r="C110" s="165"/>
      <c r="D110" s="165"/>
      <c r="E110" s="165"/>
      <c r="F110" s="165"/>
      <c r="G110" s="165"/>
      <c r="H110" s="165"/>
      <c r="I110" s="165"/>
      <c r="J110" s="43" t="s">
        <v>38</v>
      </c>
    </row>
    <row r="111" spans="1:10" ht="15" customHeight="1" x14ac:dyDescent="0.25">
      <c r="A111" s="5" t="s">
        <v>82</v>
      </c>
      <c r="B111" s="155" t="s">
        <v>94</v>
      </c>
      <c r="C111" s="155"/>
      <c r="D111" s="155"/>
      <c r="E111" s="155"/>
      <c r="F111" s="155"/>
      <c r="G111" s="155"/>
      <c r="H111" s="155"/>
      <c r="I111" s="155"/>
      <c r="J111" s="23">
        <f>J101</f>
        <v>17.060000000000002</v>
      </c>
    </row>
    <row r="112" spans="1:10" ht="15" customHeight="1" x14ac:dyDescent="0.25">
      <c r="A112" s="5" t="s">
        <v>95</v>
      </c>
      <c r="B112" s="155" t="s">
        <v>96</v>
      </c>
      <c r="C112" s="155"/>
      <c r="D112" s="155"/>
      <c r="E112" s="155"/>
      <c r="F112" s="155"/>
      <c r="G112" s="155"/>
      <c r="H112" s="155"/>
      <c r="I112" s="155"/>
      <c r="J112" s="23">
        <f>J107</f>
        <v>0</v>
      </c>
    </row>
    <row r="113" spans="1:12" x14ac:dyDescent="0.25">
      <c r="A113" s="192" t="s">
        <v>39</v>
      </c>
      <c r="B113" s="192"/>
      <c r="C113" s="192"/>
      <c r="D113" s="192"/>
      <c r="E113" s="192"/>
      <c r="F113" s="192"/>
      <c r="G113" s="192"/>
      <c r="H113" s="192"/>
      <c r="I113" s="192"/>
      <c r="J113" s="20">
        <f>SUM(J111+J112)</f>
        <v>17.060000000000002</v>
      </c>
    </row>
    <row r="114" spans="1:12" x14ac:dyDescent="0.2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</row>
    <row r="115" spans="1:12" ht="15" customHeight="1" x14ac:dyDescent="0.25">
      <c r="A115" s="203" t="s">
        <v>97</v>
      </c>
      <c r="B115" s="203"/>
      <c r="C115" s="203"/>
      <c r="D115" s="203"/>
      <c r="E115" s="203"/>
      <c r="F115" s="203"/>
      <c r="G115" s="203"/>
      <c r="H115" s="203"/>
      <c r="I115" s="203"/>
      <c r="J115" s="203"/>
    </row>
    <row r="116" spans="1:12" x14ac:dyDescent="0.25">
      <c r="A116" s="21">
        <v>5</v>
      </c>
      <c r="B116" s="204" t="s">
        <v>98</v>
      </c>
      <c r="C116" s="204"/>
      <c r="D116" s="204"/>
      <c r="E116" s="204"/>
      <c r="F116" s="204"/>
      <c r="G116" s="204"/>
      <c r="H116" s="204"/>
      <c r="I116" s="204"/>
      <c r="J116" s="21" t="s">
        <v>38</v>
      </c>
    </row>
    <row r="117" spans="1:12" x14ac:dyDescent="0.25">
      <c r="A117" s="13" t="s">
        <v>5</v>
      </c>
      <c r="B117" s="200" t="s">
        <v>99</v>
      </c>
      <c r="C117" s="200"/>
      <c r="D117" s="200"/>
      <c r="E117" s="200"/>
      <c r="F117" s="200"/>
      <c r="G117" s="200"/>
      <c r="H117" s="200"/>
      <c r="I117" s="200"/>
      <c r="J117" s="23">
        <v>0</v>
      </c>
    </row>
    <row r="118" spans="1:12" x14ac:dyDescent="0.25">
      <c r="A118" s="13" t="s">
        <v>7</v>
      </c>
      <c r="B118" s="200" t="s">
        <v>100</v>
      </c>
      <c r="C118" s="200"/>
      <c r="D118" s="200"/>
      <c r="E118" s="200"/>
      <c r="F118" s="200"/>
      <c r="G118" s="200"/>
      <c r="H118" s="200"/>
      <c r="I118" s="200"/>
      <c r="J118" s="44">
        <v>0</v>
      </c>
    </row>
    <row r="119" spans="1:12" x14ac:dyDescent="0.25">
      <c r="A119" s="13" t="s">
        <v>10</v>
      </c>
      <c r="B119" s="200" t="s">
        <v>101</v>
      </c>
      <c r="C119" s="200"/>
      <c r="D119" s="200"/>
      <c r="E119" s="200"/>
      <c r="F119" s="200"/>
      <c r="G119" s="200"/>
      <c r="H119" s="200"/>
      <c r="I119" s="200"/>
      <c r="J119" s="44">
        <f>[1]INSUMOS!F94</f>
        <v>0</v>
      </c>
    </row>
    <row r="120" spans="1:12" x14ac:dyDescent="0.25">
      <c r="A120" s="13" t="s">
        <v>12</v>
      </c>
      <c r="B120" s="200" t="s">
        <v>102</v>
      </c>
      <c r="C120" s="200"/>
      <c r="D120" s="200"/>
      <c r="E120" s="200"/>
      <c r="F120" s="200"/>
      <c r="G120" s="200"/>
      <c r="H120" s="200"/>
      <c r="I120" s="200"/>
      <c r="J120" s="44" t="s">
        <v>103</v>
      </c>
    </row>
    <row r="121" spans="1:12" x14ac:dyDescent="0.25">
      <c r="A121" s="202" t="s">
        <v>33</v>
      </c>
      <c r="B121" s="202"/>
      <c r="C121" s="202"/>
      <c r="D121" s="202"/>
      <c r="E121" s="202"/>
      <c r="F121" s="202"/>
      <c r="G121" s="202"/>
      <c r="H121" s="202"/>
      <c r="I121" s="202"/>
      <c r="J121" s="45">
        <f>SUM(J117:J120)</f>
        <v>0</v>
      </c>
    </row>
    <row r="122" spans="1:12" x14ac:dyDescent="0.2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</row>
    <row r="123" spans="1:12" ht="15" customHeight="1" x14ac:dyDescent="0.25">
      <c r="A123" s="203" t="s">
        <v>104</v>
      </c>
      <c r="B123" s="203"/>
      <c r="C123" s="203"/>
      <c r="D123" s="203"/>
      <c r="E123" s="203"/>
      <c r="F123" s="203"/>
      <c r="G123" s="203"/>
      <c r="H123" s="203"/>
      <c r="I123" s="203"/>
      <c r="J123" s="203"/>
    </row>
    <row r="124" spans="1:12" ht="30" x14ac:dyDescent="0.25">
      <c r="A124" s="21">
        <v>6</v>
      </c>
      <c r="B124" s="204" t="s">
        <v>105</v>
      </c>
      <c r="C124" s="204"/>
      <c r="D124" s="204"/>
      <c r="E124" s="204"/>
      <c r="F124" s="204"/>
      <c r="G124" s="204"/>
      <c r="H124" s="204"/>
      <c r="I124" s="6" t="s">
        <v>44</v>
      </c>
      <c r="J124" s="46" t="s">
        <v>106</v>
      </c>
    </row>
    <row r="125" spans="1:12" ht="15" customHeight="1" x14ac:dyDescent="0.25">
      <c r="A125" s="190" t="s">
        <v>107</v>
      </c>
      <c r="B125" s="190"/>
      <c r="C125" s="190"/>
      <c r="D125" s="190"/>
      <c r="E125" s="190"/>
      <c r="F125" s="190"/>
      <c r="G125" s="190"/>
      <c r="H125" s="190"/>
      <c r="I125" s="47" t="s">
        <v>64</v>
      </c>
      <c r="J125" s="48">
        <f>SUM(J33+J77+J87+J113+J121)</f>
        <v>264.04481545454541</v>
      </c>
    </row>
    <row r="126" spans="1:12" ht="15.75" x14ac:dyDescent="0.25">
      <c r="A126" s="49" t="s">
        <v>5</v>
      </c>
      <c r="B126" s="219" t="s">
        <v>108</v>
      </c>
      <c r="C126" s="219"/>
      <c r="D126" s="219"/>
      <c r="E126" s="219"/>
      <c r="F126" s="219"/>
      <c r="G126" s="219"/>
      <c r="H126" s="219"/>
      <c r="I126" s="22">
        <v>0.03</v>
      </c>
      <c r="J126" s="23">
        <f>ROUND(I126*J125,2)</f>
        <v>7.92</v>
      </c>
      <c r="L126">
        <f>J126*8</f>
        <v>63.36</v>
      </c>
    </row>
    <row r="127" spans="1:12" ht="15" customHeight="1" x14ac:dyDescent="0.25">
      <c r="A127" s="190" t="s">
        <v>109</v>
      </c>
      <c r="B127" s="190"/>
      <c r="C127" s="190"/>
      <c r="D127" s="190"/>
      <c r="E127" s="190"/>
      <c r="F127" s="190"/>
      <c r="G127" s="190"/>
      <c r="H127" s="190"/>
      <c r="I127" s="50" t="s">
        <v>64</v>
      </c>
      <c r="J127" s="48">
        <f>SUM(J33+J77+J87+J113+J121+J126)</f>
        <v>271.96481545454543</v>
      </c>
    </row>
    <row r="128" spans="1:12" ht="15.75" x14ac:dyDescent="0.25">
      <c r="A128" s="49" t="s">
        <v>7</v>
      </c>
      <c r="B128" s="219" t="s">
        <v>110</v>
      </c>
      <c r="C128" s="219"/>
      <c r="D128" s="219"/>
      <c r="E128" s="219"/>
      <c r="F128" s="219"/>
      <c r="G128" s="219"/>
      <c r="H128" s="219"/>
      <c r="I128" s="22">
        <v>3.4189999999999998E-2</v>
      </c>
      <c r="J128" s="23">
        <f>ROUND(I128*J127,2)</f>
        <v>9.3000000000000007</v>
      </c>
      <c r="L128" s="80">
        <f>J128*8</f>
        <v>74.400000000000006</v>
      </c>
    </row>
    <row r="129" spans="1:10" ht="15" customHeight="1" x14ac:dyDescent="0.25">
      <c r="A129" s="190" t="s">
        <v>111</v>
      </c>
      <c r="B129" s="190"/>
      <c r="C129" s="190"/>
      <c r="D129" s="190"/>
      <c r="E129" s="190"/>
      <c r="F129" s="190"/>
      <c r="G129" s="190"/>
      <c r="H129" s="190"/>
      <c r="I129" s="50" t="s">
        <v>64</v>
      </c>
      <c r="J129" s="48">
        <f>SUM(J33+J77+J87+J113+J121+J126+J128)</f>
        <v>281.26481545454544</v>
      </c>
    </row>
    <row r="130" spans="1:10" ht="15.75" x14ac:dyDescent="0.25">
      <c r="A130" s="49" t="s">
        <v>10</v>
      </c>
      <c r="B130" s="219" t="s">
        <v>112</v>
      </c>
      <c r="C130" s="219"/>
      <c r="D130" s="219"/>
      <c r="E130" s="219"/>
      <c r="F130" s="219"/>
      <c r="G130" s="219"/>
      <c r="H130" s="219"/>
      <c r="I130" s="14" t="s">
        <v>64</v>
      </c>
      <c r="J130" s="27" t="s">
        <v>64</v>
      </c>
    </row>
    <row r="131" spans="1:10" x14ac:dyDescent="0.25">
      <c r="A131" s="13"/>
      <c r="B131" s="200" t="s">
        <v>113</v>
      </c>
      <c r="C131" s="200"/>
      <c r="D131" s="200"/>
      <c r="E131" s="200"/>
      <c r="F131" s="200"/>
      <c r="G131" s="200"/>
      <c r="H131" s="200"/>
      <c r="I131" s="14" t="s">
        <v>64</v>
      </c>
      <c r="J131" s="27" t="s">
        <v>64</v>
      </c>
    </row>
    <row r="132" spans="1:10" x14ac:dyDescent="0.25">
      <c r="A132" s="13"/>
      <c r="B132" s="200" t="s">
        <v>201</v>
      </c>
      <c r="C132" s="200"/>
      <c r="D132" s="200"/>
      <c r="E132" s="200"/>
      <c r="F132" s="200"/>
      <c r="G132" s="200"/>
      <c r="H132" s="200"/>
      <c r="I132" s="51">
        <v>0.03</v>
      </c>
      <c r="J132" s="23">
        <f>ROUND(($J$129/(1-$I$141))*I132,2)</f>
        <v>9.0399999999999991</v>
      </c>
    </row>
    <row r="133" spans="1:10" x14ac:dyDescent="0.25">
      <c r="A133" s="13"/>
      <c r="B133" s="200" t="s">
        <v>202</v>
      </c>
      <c r="C133" s="200"/>
      <c r="D133" s="200"/>
      <c r="E133" s="200"/>
      <c r="F133" s="200"/>
      <c r="G133" s="200"/>
      <c r="H133" s="200"/>
      <c r="I133" s="51">
        <v>6.4999999999999997E-3</v>
      </c>
      <c r="J133" s="23">
        <f>ROUND(($J$129/(1-$I$141))*I133,2)</f>
        <v>1.96</v>
      </c>
    </row>
    <row r="134" spans="1:10" x14ac:dyDescent="0.25">
      <c r="A134" s="13"/>
      <c r="B134" s="155" t="s">
        <v>114</v>
      </c>
      <c r="C134" s="155"/>
      <c r="D134" s="155"/>
      <c r="E134" s="155"/>
      <c r="F134" s="155"/>
      <c r="G134" s="155"/>
      <c r="H134" s="155"/>
      <c r="I134" s="52" t="s">
        <v>64</v>
      </c>
      <c r="J134" s="27" t="s">
        <v>64</v>
      </c>
    </row>
    <row r="135" spans="1:10" x14ac:dyDescent="0.25">
      <c r="A135" s="13"/>
      <c r="B135" s="155" t="s">
        <v>115</v>
      </c>
      <c r="C135" s="155"/>
      <c r="D135" s="155"/>
      <c r="E135" s="155"/>
      <c r="F135" s="155"/>
      <c r="G135" s="155"/>
      <c r="H135" s="155"/>
      <c r="I135" s="52" t="s">
        <v>64</v>
      </c>
      <c r="J135" s="27" t="s">
        <v>64</v>
      </c>
    </row>
    <row r="136" spans="1:10" x14ac:dyDescent="0.25">
      <c r="A136" s="13"/>
      <c r="B136" s="200" t="s">
        <v>116</v>
      </c>
      <c r="C136" s="200"/>
      <c r="D136" s="200"/>
      <c r="E136" s="200"/>
      <c r="F136" s="200"/>
      <c r="G136" s="200"/>
      <c r="H136" s="200"/>
      <c r="I136" s="52" t="s">
        <v>64</v>
      </c>
      <c r="J136" s="27" t="s">
        <v>64</v>
      </c>
    </row>
    <row r="137" spans="1:10" x14ac:dyDescent="0.25">
      <c r="A137" s="13"/>
      <c r="B137" s="200" t="s">
        <v>117</v>
      </c>
      <c r="C137" s="200"/>
      <c r="D137" s="200"/>
      <c r="E137" s="200"/>
      <c r="F137" s="200"/>
      <c r="G137" s="200"/>
      <c r="H137" s="200"/>
      <c r="I137" s="52" t="s">
        <v>64</v>
      </c>
      <c r="J137" s="27" t="s">
        <v>64</v>
      </c>
    </row>
    <row r="138" spans="1:10" x14ac:dyDescent="0.25">
      <c r="A138" s="13"/>
      <c r="B138" s="200" t="s">
        <v>203</v>
      </c>
      <c r="C138" s="200"/>
      <c r="D138" s="200"/>
      <c r="E138" s="200"/>
      <c r="F138" s="200"/>
      <c r="G138" s="200"/>
      <c r="H138" s="200"/>
      <c r="I138" s="51">
        <v>0.03</v>
      </c>
      <c r="J138" s="23">
        <f>ROUND(($J$129/(1-$I$141))*I138,2)</f>
        <v>9.0399999999999991</v>
      </c>
    </row>
    <row r="139" spans="1:10" x14ac:dyDescent="0.25">
      <c r="A139" s="202" t="s">
        <v>39</v>
      </c>
      <c r="B139" s="202"/>
      <c r="C139" s="202"/>
      <c r="D139" s="202"/>
      <c r="E139" s="202"/>
      <c r="F139" s="202"/>
      <c r="G139" s="202"/>
      <c r="H139" s="202"/>
      <c r="I139" s="202"/>
      <c r="J139" s="20">
        <f>SUM(J126+J128+J132+J133+J138)</f>
        <v>37.26</v>
      </c>
    </row>
    <row r="140" spans="1:10" x14ac:dyDescent="0.2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</row>
    <row r="141" spans="1:10" ht="15" customHeight="1" x14ac:dyDescent="0.25">
      <c r="A141" s="235" t="s">
        <v>119</v>
      </c>
      <c r="B141" s="235"/>
      <c r="C141" s="235"/>
      <c r="D141" s="235"/>
      <c r="E141" s="235"/>
      <c r="F141" s="235"/>
      <c r="G141" s="235"/>
      <c r="H141" s="235"/>
      <c r="I141" s="53">
        <f>SUM(I132:I138)</f>
        <v>6.6500000000000004E-2</v>
      </c>
      <c r="J141" s="48">
        <f>SUM(J132:J138)</f>
        <v>20.04</v>
      </c>
    </row>
    <row r="142" spans="1:10" x14ac:dyDescent="0.25">
      <c r="A142" s="233" t="s">
        <v>120</v>
      </c>
      <c r="B142" s="233"/>
      <c r="C142" s="233"/>
      <c r="D142" s="234" t="s">
        <v>121</v>
      </c>
      <c r="E142" s="234"/>
      <c r="F142" s="234"/>
      <c r="G142" s="234"/>
      <c r="H142" s="234"/>
      <c r="I142" s="234"/>
      <c r="J142" s="234"/>
    </row>
    <row r="143" spans="1:10" x14ac:dyDescent="0.25">
      <c r="A143" s="233"/>
      <c r="B143" s="233"/>
      <c r="C143" s="233"/>
      <c r="D143" s="234" t="s">
        <v>122</v>
      </c>
      <c r="E143" s="234"/>
      <c r="F143" s="234"/>
      <c r="G143" s="234"/>
      <c r="H143" s="234"/>
      <c r="I143" s="234"/>
      <c r="J143" s="234"/>
    </row>
    <row r="144" spans="1:10" x14ac:dyDescent="0.25">
      <c r="A144" s="233"/>
      <c r="B144" s="233"/>
      <c r="C144" s="233"/>
      <c r="D144" s="234" t="s">
        <v>123</v>
      </c>
      <c r="E144" s="234"/>
      <c r="F144" s="234"/>
      <c r="G144" s="234"/>
      <c r="H144" s="234"/>
      <c r="I144" s="234"/>
      <c r="J144" s="234"/>
    </row>
    <row r="145" spans="1:10" x14ac:dyDescent="0.2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</row>
    <row r="146" spans="1:10" ht="15.75" customHeight="1" x14ac:dyDescent="0.25">
      <c r="A146" s="225" t="s">
        <v>124</v>
      </c>
      <c r="B146" s="225"/>
      <c r="C146" s="225"/>
      <c r="D146" s="225"/>
      <c r="E146" s="225"/>
      <c r="F146" s="225"/>
      <c r="G146" s="225"/>
      <c r="H146" s="225"/>
      <c r="I146" s="225"/>
      <c r="J146" s="225"/>
    </row>
    <row r="147" spans="1:10" ht="15" customHeight="1" x14ac:dyDescent="0.25">
      <c r="A147" s="226" t="s">
        <v>125</v>
      </c>
      <c r="B147" s="226"/>
      <c r="C147" s="226"/>
      <c r="D147" s="226"/>
      <c r="E147" s="226"/>
      <c r="F147" s="226"/>
      <c r="G147" s="226"/>
      <c r="H147" s="226"/>
      <c r="I147" s="226"/>
      <c r="J147" s="54" t="s">
        <v>38</v>
      </c>
    </row>
    <row r="148" spans="1:10" ht="15" customHeight="1" x14ac:dyDescent="0.25">
      <c r="A148" s="55" t="s">
        <v>5</v>
      </c>
      <c r="B148" s="223" t="s">
        <v>126</v>
      </c>
      <c r="C148" s="223"/>
      <c r="D148" s="223"/>
      <c r="E148" s="223"/>
      <c r="F148" s="223"/>
      <c r="G148" s="223"/>
      <c r="H148" s="223"/>
      <c r="I148" s="223"/>
      <c r="J148" s="44">
        <f>J33</f>
        <v>137.44481545454545</v>
      </c>
    </row>
    <row r="149" spans="1:10" ht="15" customHeight="1" x14ac:dyDescent="0.25">
      <c r="A149" s="55" t="s">
        <v>7</v>
      </c>
      <c r="B149" s="223" t="s">
        <v>34</v>
      </c>
      <c r="C149" s="223"/>
      <c r="D149" s="223"/>
      <c r="E149" s="223"/>
      <c r="F149" s="223"/>
      <c r="G149" s="223"/>
      <c r="H149" s="223"/>
      <c r="I149" s="223"/>
      <c r="J149" s="44">
        <f>J77</f>
        <v>98.62</v>
      </c>
    </row>
    <row r="150" spans="1:10" ht="15" customHeight="1" x14ac:dyDescent="0.25">
      <c r="A150" s="55" t="s">
        <v>10</v>
      </c>
      <c r="B150" s="223" t="s">
        <v>127</v>
      </c>
      <c r="C150" s="223"/>
      <c r="D150" s="223"/>
      <c r="E150" s="223"/>
      <c r="F150" s="223"/>
      <c r="G150" s="223"/>
      <c r="H150" s="223"/>
      <c r="I150" s="223"/>
      <c r="J150" s="44">
        <f>J87</f>
        <v>10.92</v>
      </c>
    </row>
    <row r="151" spans="1:10" ht="15" customHeight="1" x14ac:dyDescent="0.25">
      <c r="A151" s="55" t="s">
        <v>12</v>
      </c>
      <c r="B151" s="223" t="s">
        <v>128</v>
      </c>
      <c r="C151" s="223"/>
      <c r="D151" s="223"/>
      <c r="E151" s="223"/>
      <c r="F151" s="223"/>
      <c r="G151" s="223"/>
      <c r="H151" s="223"/>
      <c r="I151" s="223"/>
      <c r="J151" s="44">
        <f>J113</f>
        <v>17.060000000000002</v>
      </c>
    </row>
    <row r="152" spans="1:10" ht="15" customHeight="1" x14ac:dyDescent="0.25">
      <c r="A152" s="55" t="s">
        <v>32</v>
      </c>
      <c r="B152" s="223" t="s">
        <v>129</v>
      </c>
      <c r="C152" s="223"/>
      <c r="D152" s="223"/>
      <c r="E152" s="223"/>
      <c r="F152" s="223"/>
      <c r="G152" s="223"/>
      <c r="H152" s="223"/>
      <c r="I152" s="223"/>
      <c r="J152" s="44">
        <f>J121</f>
        <v>0</v>
      </c>
    </row>
    <row r="153" spans="1:10" ht="15" customHeight="1" x14ac:dyDescent="0.25">
      <c r="A153" s="224" t="s">
        <v>130</v>
      </c>
      <c r="B153" s="224"/>
      <c r="C153" s="224"/>
      <c r="D153" s="224"/>
      <c r="E153" s="224"/>
      <c r="F153" s="224"/>
      <c r="G153" s="224"/>
      <c r="H153" s="224"/>
      <c r="I153" s="224"/>
      <c r="J153" s="45">
        <f>SUM(J148:J152)</f>
        <v>264.04481545454541</v>
      </c>
    </row>
    <row r="154" spans="1:10" ht="15" customHeight="1" x14ac:dyDescent="0.25">
      <c r="A154" s="55" t="s">
        <v>53</v>
      </c>
      <c r="B154" s="223" t="s">
        <v>131</v>
      </c>
      <c r="C154" s="223"/>
      <c r="D154" s="223"/>
      <c r="E154" s="223"/>
      <c r="F154" s="223"/>
      <c r="G154" s="223"/>
      <c r="H154" s="223"/>
      <c r="I154" s="223"/>
      <c r="J154" s="44">
        <f>J139</f>
        <v>37.26</v>
      </c>
    </row>
    <row r="155" spans="1:10" ht="15" customHeight="1" x14ac:dyDescent="0.25">
      <c r="A155" s="224" t="s">
        <v>132</v>
      </c>
      <c r="B155" s="224"/>
      <c r="C155" s="224"/>
      <c r="D155" s="224"/>
      <c r="E155" s="224"/>
      <c r="F155" s="224"/>
      <c r="G155" s="224"/>
      <c r="H155" s="224"/>
      <c r="I155" s="224"/>
      <c r="J155" s="45">
        <f>SUM(J153:J154)</f>
        <v>301.30481545454541</v>
      </c>
    </row>
    <row r="157" spans="1:10" x14ac:dyDescent="0.25">
      <c r="J157" s="56"/>
    </row>
  </sheetData>
  <mergeCells count="170">
    <mergeCell ref="A2:J2"/>
    <mergeCell ref="A3:J3"/>
    <mergeCell ref="A4:J4"/>
    <mergeCell ref="A5:G5"/>
    <mergeCell ref="H5:J5"/>
    <mergeCell ref="A6:G6"/>
    <mergeCell ref="H6:J6"/>
    <mergeCell ref="B11:G11"/>
    <mergeCell ref="H11:J11"/>
    <mergeCell ref="B12:G12"/>
    <mergeCell ref="H12:J12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S27:U27"/>
    <mergeCell ref="B28:H28"/>
    <mergeCell ref="B29:I29"/>
    <mergeCell ref="B22:G22"/>
    <mergeCell ref="H22:J22"/>
    <mergeCell ref="B23:G23"/>
    <mergeCell ref="H23:J23"/>
    <mergeCell ref="A24:J24"/>
    <mergeCell ref="A25:J25"/>
    <mergeCell ref="B30:I30"/>
    <mergeCell ref="B31:I31"/>
    <mergeCell ref="B32:H32"/>
    <mergeCell ref="A33:I33"/>
    <mergeCell ref="A34:J34"/>
    <mergeCell ref="A35:J35"/>
    <mergeCell ref="B26:G26"/>
    <mergeCell ref="H26:I26"/>
    <mergeCell ref="B27:I27"/>
    <mergeCell ref="A42:I42"/>
    <mergeCell ref="A43:J43"/>
    <mergeCell ref="A44:J44"/>
    <mergeCell ref="B45:H45"/>
    <mergeCell ref="B46:H46"/>
    <mergeCell ref="B47:H47"/>
    <mergeCell ref="A36:J36"/>
    <mergeCell ref="B37:I37"/>
    <mergeCell ref="B38:H38"/>
    <mergeCell ref="B39:H39"/>
    <mergeCell ref="A40:I40"/>
    <mergeCell ref="B41:I41"/>
    <mergeCell ref="A54:H54"/>
    <mergeCell ref="A55:J55"/>
    <mergeCell ref="A56:J56"/>
    <mergeCell ref="B57:I57"/>
    <mergeCell ref="B58:I58"/>
    <mergeCell ref="B59:H59"/>
    <mergeCell ref="B48:D48"/>
    <mergeCell ref="B49:H49"/>
    <mergeCell ref="B50:H50"/>
    <mergeCell ref="B51:H51"/>
    <mergeCell ref="B52:H52"/>
    <mergeCell ref="B53:H53"/>
    <mergeCell ref="B68:I68"/>
    <mergeCell ref="B69:I69"/>
    <mergeCell ref="A70:I70"/>
    <mergeCell ref="A71:J71"/>
    <mergeCell ref="A72:J72"/>
    <mergeCell ref="B73:I73"/>
    <mergeCell ref="B60:H60"/>
    <mergeCell ref="B61:H61"/>
    <mergeCell ref="B62:I62"/>
    <mergeCell ref="B63:H63"/>
    <mergeCell ref="B64:H64"/>
    <mergeCell ref="B67:H67"/>
    <mergeCell ref="B80:I80"/>
    <mergeCell ref="B81:I81"/>
    <mergeCell ref="B82:I82"/>
    <mergeCell ref="B83:H83"/>
    <mergeCell ref="B84:I84"/>
    <mergeCell ref="B85:I85"/>
    <mergeCell ref="C74:I74"/>
    <mergeCell ref="C75:I75"/>
    <mergeCell ref="C76:I76"/>
    <mergeCell ref="A77:I77"/>
    <mergeCell ref="A78:J78"/>
    <mergeCell ref="A79:J79"/>
    <mergeCell ref="B92:I92"/>
    <mergeCell ref="B93:H93"/>
    <mergeCell ref="B94:I94"/>
    <mergeCell ref="B95:I95"/>
    <mergeCell ref="B96:I96"/>
    <mergeCell ref="B97:I97"/>
    <mergeCell ref="B86:H86"/>
    <mergeCell ref="A87:I87"/>
    <mergeCell ref="A88:J88"/>
    <mergeCell ref="A89:J89"/>
    <mergeCell ref="A90:I90"/>
    <mergeCell ref="A91:J91"/>
    <mergeCell ref="B104:I104"/>
    <mergeCell ref="A105:I105"/>
    <mergeCell ref="B106:I106"/>
    <mergeCell ref="A107:I107"/>
    <mergeCell ref="A108:J108"/>
    <mergeCell ref="A109:J109"/>
    <mergeCell ref="B98:I98"/>
    <mergeCell ref="A99:I99"/>
    <mergeCell ref="B100:I100"/>
    <mergeCell ref="A101:I101"/>
    <mergeCell ref="A102:J102"/>
    <mergeCell ref="B103:I103"/>
    <mergeCell ref="B116:I116"/>
    <mergeCell ref="B117:I117"/>
    <mergeCell ref="B118:I118"/>
    <mergeCell ref="B119:I119"/>
    <mergeCell ref="B120:I120"/>
    <mergeCell ref="A121:I121"/>
    <mergeCell ref="B110:I110"/>
    <mergeCell ref="B111:I111"/>
    <mergeCell ref="B112:I112"/>
    <mergeCell ref="A113:I113"/>
    <mergeCell ref="A114:J114"/>
    <mergeCell ref="A115:J115"/>
    <mergeCell ref="B128:H128"/>
    <mergeCell ref="A129:H129"/>
    <mergeCell ref="B130:H130"/>
    <mergeCell ref="B131:H131"/>
    <mergeCell ref="B132:H132"/>
    <mergeCell ref="B133:H133"/>
    <mergeCell ref="A122:J122"/>
    <mergeCell ref="A123:J123"/>
    <mergeCell ref="B124:H124"/>
    <mergeCell ref="A125:H125"/>
    <mergeCell ref="B126:H126"/>
    <mergeCell ref="A127:H127"/>
    <mergeCell ref="A140:J140"/>
    <mergeCell ref="A141:H141"/>
    <mergeCell ref="A142:C144"/>
    <mergeCell ref="D142:J142"/>
    <mergeCell ref="D143:J143"/>
    <mergeCell ref="D144:J144"/>
    <mergeCell ref="B134:H134"/>
    <mergeCell ref="B135:H135"/>
    <mergeCell ref="B136:H136"/>
    <mergeCell ref="B137:H137"/>
    <mergeCell ref="B138:H138"/>
    <mergeCell ref="A139:I139"/>
    <mergeCell ref="B151:I151"/>
    <mergeCell ref="B152:I152"/>
    <mergeCell ref="A153:I153"/>
    <mergeCell ref="B154:I154"/>
    <mergeCell ref="A155:I155"/>
    <mergeCell ref="A145:J145"/>
    <mergeCell ref="A146:J146"/>
    <mergeCell ref="A147:I147"/>
    <mergeCell ref="B148:I148"/>
    <mergeCell ref="B149:I149"/>
    <mergeCell ref="B150:I15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9"/>
  <sheetViews>
    <sheetView view="pageBreakPreview" zoomScale="85" zoomScaleNormal="85" zoomScaleSheetLayoutView="85" workbookViewId="0">
      <selection activeCell="H21" sqref="H21:J21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14.28515625" style="76" customWidth="1"/>
    <col min="12" max="12" width="12.140625" style="76" bestFit="1" customWidth="1"/>
    <col min="13" max="13" width="11.42578125" style="76" bestFit="1" customWidth="1"/>
    <col min="14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132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132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132" t="s">
        <v>10</v>
      </c>
      <c r="B11" s="155" t="s">
        <v>11</v>
      </c>
      <c r="C11" s="155"/>
      <c r="D11" s="155"/>
      <c r="E11" s="155"/>
      <c r="F11" s="155"/>
      <c r="G11" s="155"/>
      <c r="H11" s="249" t="s">
        <v>242</v>
      </c>
      <c r="I11" s="249"/>
      <c r="J11" s="249"/>
    </row>
    <row r="12" spans="1:25" ht="15" customHeight="1" x14ac:dyDescent="0.25">
      <c r="A12" s="132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250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132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Terapeuta ocupacional 10h mês</v>
      </c>
      <c r="I19" s="166"/>
      <c r="J19" s="166"/>
      <c r="K19" s="80"/>
    </row>
    <row r="20" spans="1:14" ht="15" customHeight="1" x14ac:dyDescent="0.25">
      <c r="A20" s="132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  <c r="K20" s="80"/>
    </row>
    <row r="21" spans="1:14" ht="27.75" customHeight="1" x14ac:dyDescent="0.25">
      <c r="A21" s="132">
        <v>3</v>
      </c>
      <c r="B21" s="155" t="s">
        <v>231</v>
      </c>
      <c r="C21" s="155"/>
      <c r="D21" s="155"/>
      <c r="E21" s="155"/>
      <c r="F21" s="155"/>
      <c r="G21" s="155"/>
      <c r="H21" s="167">
        <v>2000</v>
      </c>
      <c r="I21" s="167"/>
      <c r="J21" s="167"/>
      <c r="K21" s="80">
        <v>200</v>
      </c>
      <c r="M21" s="137">
        <f>K21*H24</f>
        <v>400</v>
      </c>
    </row>
    <row r="22" spans="1:14" ht="37.9" customHeight="1" x14ac:dyDescent="0.25">
      <c r="A22" s="132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Terapeuta ocupacional 10h mês</v>
      </c>
      <c r="I22" s="166"/>
      <c r="J22" s="166"/>
      <c r="K22" s="80"/>
    </row>
    <row r="23" spans="1:14" ht="15" customHeight="1" x14ac:dyDescent="0.25">
      <c r="A23" s="132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  <c r="K23" s="80"/>
    </row>
    <row r="24" spans="1:14" x14ac:dyDescent="0.25">
      <c r="A24" s="132">
        <v>6</v>
      </c>
      <c r="B24" s="155" t="s">
        <v>216</v>
      </c>
      <c r="C24" s="155"/>
      <c r="D24" s="155"/>
      <c r="E24" s="155"/>
      <c r="F24" s="155"/>
      <c r="G24" s="155"/>
      <c r="H24" s="184">
        <v>2</v>
      </c>
      <c r="I24" s="184"/>
      <c r="J24" s="184"/>
      <c r="K24" s="80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80"/>
    </row>
    <row r="26" spans="1:14" ht="30" customHeight="1" x14ac:dyDescent="0.25">
      <c r="A26" s="133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133" t="s">
        <v>28</v>
      </c>
      <c r="K26" s="80"/>
    </row>
    <row r="27" spans="1:14" ht="15" customHeight="1" x14ac:dyDescent="0.25">
      <c r="A27" s="132" t="s">
        <v>5</v>
      </c>
      <c r="B27" s="175" t="s">
        <v>224</v>
      </c>
      <c r="C27" s="175"/>
      <c r="D27" s="175"/>
      <c r="E27" s="175"/>
      <c r="F27" s="175"/>
      <c r="G27" s="175"/>
      <c r="H27" s="175"/>
      <c r="I27" s="175"/>
      <c r="J27" s="114">
        <f>H21</f>
        <v>2000</v>
      </c>
      <c r="K27" s="80"/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  <c r="K28" s="80"/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  <c r="K29" s="80"/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  <c r="K30" s="80"/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2000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2000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31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166.6</v>
      </c>
    </row>
    <row r="40" spans="1:10" ht="15" customHeight="1" x14ac:dyDescent="0.25">
      <c r="A40" s="131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55.6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222.2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81.77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303.96999999999997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134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133" t="s">
        <v>44</v>
      </c>
      <c r="J46" s="133" t="s">
        <v>45</v>
      </c>
    </row>
    <row r="47" spans="1:10" x14ac:dyDescent="0.25">
      <c r="A47" s="131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400</v>
      </c>
    </row>
    <row r="48" spans="1:10" x14ac:dyDescent="0.25">
      <c r="A48" s="131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50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60</v>
      </c>
    </row>
    <row r="50" spans="1:10" x14ac:dyDescent="0.25">
      <c r="A50" s="131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30</v>
      </c>
    </row>
    <row r="51" spans="1:10" x14ac:dyDescent="0.25">
      <c r="A51" s="131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20</v>
      </c>
    </row>
    <row r="52" spans="1:10" x14ac:dyDescent="0.25">
      <c r="A52" s="131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12</v>
      </c>
    </row>
    <row r="53" spans="1:10" x14ac:dyDescent="0.25">
      <c r="A53" s="131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4</v>
      </c>
    </row>
    <row r="54" spans="1:10" x14ac:dyDescent="0.25">
      <c r="A54" s="131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160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736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134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133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100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31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135"/>
    </row>
    <row r="62" spans="1:10" x14ac:dyDescent="0.25">
      <c r="A62" s="131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135"/>
    </row>
    <row r="63" spans="1:10" x14ac:dyDescent="0.25">
      <c r="A63" s="131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31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31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31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31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389.7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133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133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303.96999999999997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736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389.7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1429.67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134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134" t="s">
        <v>77</v>
      </c>
      <c r="K81" s="83"/>
    </row>
    <row r="82" spans="1:11" ht="39" customHeight="1" x14ac:dyDescent="0.25">
      <c r="A82" s="131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0.84</v>
      </c>
      <c r="K82"/>
    </row>
    <row r="83" spans="1:11" ht="15" customHeight="1" x14ac:dyDescent="0.25">
      <c r="A83" s="131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4.3750000000000006E-4</v>
      </c>
      <c r="J83" s="23">
        <f>ROUND($J$82*I54,2)</f>
        <v>7.0000000000000007E-2</v>
      </c>
    </row>
    <row r="84" spans="1:11" ht="50.25" customHeight="1" x14ac:dyDescent="0.25">
      <c r="A84" s="131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4.8</v>
      </c>
    </row>
    <row r="85" spans="1:11" ht="26.25" customHeight="1" x14ac:dyDescent="0.25">
      <c r="A85" s="131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3.89</v>
      </c>
    </row>
    <row r="86" spans="1:11" ht="28.5" customHeight="1" x14ac:dyDescent="0.25">
      <c r="A86" s="131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1.43</v>
      </c>
    </row>
    <row r="87" spans="1:11" ht="26.25" customHeight="1" x14ac:dyDescent="0.25">
      <c r="A87" s="131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75.2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86.23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2388.7999999999997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166.6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2.7796383121232418E-3</v>
      </c>
      <c r="J95" s="8">
        <f>ROUND((($J$91/30)*1)/12,2)</f>
        <v>6.64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2.0931011386470197E-4</v>
      </c>
      <c r="J96" s="8">
        <f>ROUND((($J$91/30)*5)/12*0.015,2)</f>
        <v>0.5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3.265237776289351E-4</v>
      </c>
      <c r="J97" s="23">
        <f>ROUND(((($J$91/30)*15)/12)*0.0078,2)</f>
        <v>0.78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6.1955793703951777E-4</v>
      </c>
      <c r="J98" s="40">
        <f>ROUND(((($J$31+$J$31/3)*4/12)/12)*0.02,2)</f>
        <v>1.48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1.3889819156061623E-2</v>
      </c>
      <c r="J99" s="23">
        <f>ROUND(((($J$91/30)*5)/12),2)</f>
        <v>33.18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209.17999999999998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76.98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286.15999999999997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134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31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133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132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286.15999999999997</v>
      </c>
    </row>
    <row r="113" spans="1:15" ht="15" customHeight="1" x14ac:dyDescent="0.25">
      <c r="A113" s="132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286.15999999999997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134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134" t="s">
        <v>38</v>
      </c>
    </row>
    <row r="118" spans="1:15" x14ac:dyDescent="0.25">
      <c r="A118" s="131" t="s">
        <v>5</v>
      </c>
      <c r="B118" s="200" t="s">
        <v>226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31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31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31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134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133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4452.0599999999995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890.41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5342.4699999999993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961.64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6304.11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135" t="s">
        <v>64</v>
      </c>
    </row>
    <row r="132" spans="1:15" x14ac:dyDescent="0.25">
      <c r="A132" s="131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135" t="s">
        <v>64</v>
      </c>
    </row>
    <row r="133" spans="1:15" x14ac:dyDescent="0.25">
      <c r="A133" s="131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546</v>
      </c>
    </row>
    <row r="134" spans="1:15" x14ac:dyDescent="0.25">
      <c r="A134" s="131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118.54</v>
      </c>
    </row>
    <row r="135" spans="1:15" x14ac:dyDescent="0.25">
      <c r="A135" s="131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135" t="s">
        <v>64</v>
      </c>
    </row>
    <row r="136" spans="1:15" x14ac:dyDescent="0.25">
      <c r="A136" s="131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135" t="s">
        <v>64</v>
      </c>
    </row>
    <row r="137" spans="1:15" x14ac:dyDescent="0.25">
      <c r="A137" s="131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135" t="s">
        <v>64</v>
      </c>
    </row>
    <row r="138" spans="1:15" ht="15" customHeight="1" x14ac:dyDescent="0.25">
      <c r="A138" s="131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135" t="s">
        <v>64</v>
      </c>
    </row>
    <row r="139" spans="1:15" x14ac:dyDescent="0.25">
      <c r="A139" s="131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215.53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2732.1200000000003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880.06999999999994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2000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1429.67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86.23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286.15999999999997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4452.0599999999995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2732.1200000000003</v>
      </c>
    </row>
    <row r="156" spans="1:11" ht="17.45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7184.18</v>
      </c>
    </row>
    <row r="157" spans="1:11" ht="17.45" customHeight="1" x14ac:dyDescent="0.25">
      <c r="A157" s="224" t="s">
        <v>227</v>
      </c>
      <c r="B157" s="224"/>
      <c r="C157" s="224"/>
      <c r="D157" s="224"/>
      <c r="E157" s="224"/>
      <c r="F157" s="224"/>
      <c r="G157" s="224"/>
      <c r="H157" s="224"/>
      <c r="I157" s="224"/>
      <c r="J157" s="45">
        <f>J156/10</f>
        <v>718.41800000000001</v>
      </c>
    </row>
    <row r="159" spans="1:11" x14ac:dyDescent="0.25">
      <c r="J159" s="56"/>
    </row>
  </sheetData>
  <mergeCells count="173">
    <mergeCell ref="B152:I152"/>
    <mergeCell ref="B153:I153"/>
    <mergeCell ref="A154:I154"/>
    <mergeCell ref="B155:I155"/>
    <mergeCell ref="A156:I156"/>
    <mergeCell ref="A157:I157"/>
    <mergeCell ref="A146:J146"/>
    <mergeCell ref="A147:J147"/>
    <mergeCell ref="A148:I148"/>
    <mergeCell ref="B149:I149"/>
    <mergeCell ref="B150:I150"/>
    <mergeCell ref="B151:I15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9"/>
  <sheetViews>
    <sheetView view="pageBreakPreview" zoomScale="85" zoomScaleNormal="85" zoomScaleSheetLayoutView="85" workbookViewId="0">
      <selection activeCell="A14" sqref="A14:D14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132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132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132" t="s">
        <v>10</v>
      </c>
      <c r="B11" s="155" t="s">
        <v>11</v>
      </c>
      <c r="C11" s="155"/>
      <c r="D11" s="155"/>
      <c r="E11" s="155"/>
      <c r="F11" s="155"/>
      <c r="G11" s="155"/>
      <c r="H11" s="249" t="s">
        <v>242</v>
      </c>
      <c r="I11" s="249"/>
      <c r="J11" s="249"/>
    </row>
    <row r="12" spans="1:25" ht="15" customHeight="1" x14ac:dyDescent="0.25">
      <c r="A12" s="132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248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132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Neuropediatra especialista em autismo 10h mês</v>
      </c>
      <c r="I19" s="166"/>
      <c r="J19" s="166"/>
    </row>
    <row r="20" spans="1:14" ht="15" customHeight="1" x14ac:dyDescent="0.25">
      <c r="A20" s="132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132">
        <v>3</v>
      </c>
      <c r="B21" s="155" t="s">
        <v>232</v>
      </c>
      <c r="C21" s="155"/>
      <c r="D21" s="155"/>
      <c r="E21" s="155"/>
      <c r="F21" s="155"/>
      <c r="G21" s="155"/>
      <c r="H21" s="167">
        <v>3500</v>
      </c>
      <c r="I21" s="167"/>
      <c r="J21" s="167"/>
    </row>
    <row r="22" spans="1:14" ht="37.9" customHeight="1" x14ac:dyDescent="0.25">
      <c r="A22" s="132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Neuropediatra especialista em autismo 10h mês</v>
      </c>
      <c r="I22" s="166"/>
      <c r="J22" s="166"/>
    </row>
    <row r="23" spans="1:14" ht="15" customHeight="1" x14ac:dyDescent="0.25">
      <c r="A23" s="132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132">
        <v>6</v>
      </c>
      <c r="B24" s="155" t="s">
        <v>251</v>
      </c>
      <c r="C24" s="155"/>
      <c r="D24" s="155"/>
      <c r="E24" s="155"/>
      <c r="F24" s="155"/>
      <c r="G24" s="155"/>
      <c r="H24" s="184">
        <v>2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133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133" t="s">
        <v>28</v>
      </c>
    </row>
    <row r="27" spans="1:14" ht="15" customHeight="1" x14ac:dyDescent="0.25">
      <c r="A27" s="132" t="s">
        <v>5</v>
      </c>
      <c r="B27" s="175" t="s">
        <v>224</v>
      </c>
      <c r="C27" s="175"/>
      <c r="D27" s="175"/>
      <c r="E27" s="175"/>
      <c r="F27" s="175"/>
      <c r="G27" s="175"/>
      <c r="H27" s="175"/>
      <c r="I27" s="175"/>
      <c r="J27" s="114">
        <f>H21</f>
        <v>3500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3500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3500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31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291.55</v>
      </c>
    </row>
    <row r="40" spans="1:10" ht="15" customHeight="1" x14ac:dyDescent="0.25">
      <c r="A40" s="131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97.3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388.85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143.1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531.95000000000005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134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133" t="s">
        <v>44</v>
      </c>
      <c r="J46" s="133" t="s">
        <v>45</v>
      </c>
    </row>
    <row r="47" spans="1:10" x14ac:dyDescent="0.25">
      <c r="A47" s="131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700</v>
      </c>
    </row>
    <row r="48" spans="1:10" x14ac:dyDescent="0.25">
      <c r="A48" s="131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87.5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105</v>
      </c>
    </row>
    <row r="50" spans="1:10" x14ac:dyDescent="0.25">
      <c r="A50" s="131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52.5</v>
      </c>
    </row>
    <row r="51" spans="1:10" x14ac:dyDescent="0.25">
      <c r="A51" s="131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35</v>
      </c>
    </row>
    <row r="52" spans="1:10" x14ac:dyDescent="0.25">
      <c r="A52" s="131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21</v>
      </c>
    </row>
    <row r="53" spans="1:10" x14ac:dyDescent="0.25">
      <c r="A53" s="131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7</v>
      </c>
    </row>
    <row r="54" spans="1:10" x14ac:dyDescent="0.25">
      <c r="A54" s="131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280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1288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134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133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10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31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135"/>
    </row>
    <row r="62" spans="1:10" x14ac:dyDescent="0.25">
      <c r="A62" s="131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135"/>
    </row>
    <row r="63" spans="1:10" x14ac:dyDescent="0.25">
      <c r="A63" s="131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31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31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31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31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299.7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133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133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531.95000000000005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1288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299.7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2119.65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134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134" t="s">
        <v>77</v>
      </c>
      <c r="K81" s="83"/>
    </row>
    <row r="82" spans="1:11" ht="39" customHeight="1" x14ac:dyDescent="0.25">
      <c r="A82" s="131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1.46</v>
      </c>
      <c r="K82"/>
    </row>
    <row r="83" spans="1:11" ht="15" customHeight="1" x14ac:dyDescent="0.25">
      <c r="A83" s="131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4.2857142857142855E-4</v>
      </c>
      <c r="J83" s="23">
        <f>ROUND($J$82*I54,2)</f>
        <v>0.12</v>
      </c>
    </row>
    <row r="84" spans="1:11" ht="50.25" customHeight="1" x14ac:dyDescent="0.25">
      <c r="A84" s="131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8.4</v>
      </c>
    </row>
    <row r="85" spans="1:11" ht="26.25" customHeight="1" x14ac:dyDescent="0.25">
      <c r="A85" s="131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6.81</v>
      </c>
    </row>
    <row r="86" spans="1:11" ht="28.5" customHeight="1" x14ac:dyDescent="0.25">
      <c r="A86" s="131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2.5099999999999998</v>
      </c>
    </row>
    <row r="87" spans="1:11" ht="26.25" customHeight="1" x14ac:dyDescent="0.25">
      <c r="A87" s="131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131.6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150.89999999999998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4180.4000000000005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291.55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2.7772461965362163E-3</v>
      </c>
      <c r="J95" s="8">
        <f>ROUND((($J$91/30)*1)/12,2)</f>
        <v>11.61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2.0811405607118932E-4</v>
      </c>
      <c r="J96" s="8">
        <f>ROUND((($J$91/30)*5)/12*0.015,2)</f>
        <v>0.87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3.2532771983542243E-4</v>
      </c>
      <c r="J97" s="23">
        <f>ROUND(((($J$91/30)*15)/12)*0.0078,2)</f>
        <v>1.36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6.1955793703951767E-4</v>
      </c>
      <c r="J98" s="40">
        <f>ROUND(((($J$31+$J$31/3)*4/12)/12)*0.02,2)</f>
        <v>2.59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1.3888623098268106E-2</v>
      </c>
      <c r="J99" s="23">
        <f>ROUND(((($J$91/30)*5)/12),2)</f>
        <v>58.06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366.04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134.69999999999999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500.74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134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31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133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132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500.74</v>
      </c>
    </row>
    <row r="113" spans="1:15" ht="15" customHeight="1" x14ac:dyDescent="0.25">
      <c r="A113" s="132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500.74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134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134" t="s">
        <v>38</v>
      </c>
    </row>
    <row r="118" spans="1:15" x14ac:dyDescent="0.25">
      <c r="A118" s="131" t="s">
        <v>5</v>
      </c>
      <c r="B118" s="200" t="s">
        <v>226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31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31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31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134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133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6921.2899999999991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1384.26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8305.5499999999993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1495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9800.5499999999993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135" t="s">
        <v>64</v>
      </c>
    </row>
    <row r="132" spans="1:15" x14ac:dyDescent="0.25">
      <c r="A132" s="131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135" t="s">
        <v>64</v>
      </c>
    </row>
    <row r="133" spans="1:15" x14ac:dyDescent="0.25">
      <c r="A133" s="131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848.82</v>
      </c>
    </row>
    <row r="134" spans="1:15" x14ac:dyDescent="0.25">
      <c r="A134" s="131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184.28</v>
      </c>
    </row>
    <row r="135" spans="1:15" x14ac:dyDescent="0.25">
      <c r="A135" s="131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135" t="s">
        <v>64</v>
      </c>
    </row>
    <row r="136" spans="1:15" x14ac:dyDescent="0.25">
      <c r="A136" s="131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135" t="s">
        <v>64</v>
      </c>
    </row>
    <row r="137" spans="1:15" x14ac:dyDescent="0.25">
      <c r="A137" s="131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135" t="s">
        <v>64</v>
      </c>
    </row>
    <row r="138" spans="1:15" ht="15" customHeight="1" x14ac:dyDescent="0.25">
      <c r="A138" s="131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135" t="s">
        <v>64</v>
      </c>
    </row>
    <row r="139" spans="1:15" x14ac:dyDescent="0.25">
      <c r="A139" s="131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335.06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4247.420000000001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1368.16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3500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2119.65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150.89999999999998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500.74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6921.2899999999991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4247.420000000001</v>
      </c>
    </row>
    <row r="156" spans="1:11" ht="17.45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11168.71</v>
      </c>
    </row>
    <row r="157" spans="1:11" ht="17.45" customHeight="1" x14ac:dyDescent="0.25">
      <c r="A157" s="224" t="s">
        <v>227</v>
      </c>
      <c r="B157" s="224"/>
      <c r="C157" s="224"/>
      <c r="D157" s="224"/>
      <c r="E157" s="224"/>
      <c r="F157" s="224"/>
      <c r="G157" s="224"/>
      <c r="H157" s="224"/>
      <c r="I157" s="224"/>
      <c r="J157" s="45">
        <f>J156/10</f>
        <v>1116.8709999999999</v>
      </c>
    </row>
    <row r="159" spans="1:11" x14ac:dyDescent="0.25">
      <c r="J159" s="56"/>
    </row>
  </sheetData>
  <mergeCells count="173">
    <mergeCell ref="B152:I152"/>
    <mergeCell ref="B153:I153"/>
    <mergeCell ref="A154:I154"/>
    <mergeCell ref="B155:I155"/>
    <mergeCell ref="A156:I156"/>
    <mergeCell ref="A157:I157"/>
    <mergeCell ref="A146:J146"/>
    <mergeCell ref="A147:J147"/>
    <mergeCell ref="A148:I148"/>
    <mergeCell ref="B149:I149"/>
    <mergeCell ref="B150:I150"/>
    <mergeCell ref="B151:I15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9"/>
  <sheetViews>
    <sheetView view="pageBreakPreview" zoomScale="85" zoomScaleNormal="85" zoomScaleSheetLayoutView="85" workbookViewId="0">
      <selection activeCell="J156" sqref="J156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129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129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129" t="s">
        <v>10</v>
      </c>
      <c r="B11" s="155" t="s">
        <v>11</v>
      </c>
      <c r="C11" s="155"/>
      <c r="D11" s="155"/>
      <c r="E11" s="155"/>
      <c r="F11" s="155"/>
      <c r="G11" s="155"/>
      <c r="H11" s="249" t="s">
        <v>242</v>
      </c>
      <c r="I11" s="249"/>
      <c r="J11" s="249"/>
    </row>
    <row r="12" spans="1:25" ht="15" customHeight="1" x14ac:dyDescent="0.25">
      <c r="A12" s="129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258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129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Neuropsicopedagogo 10h semanais</v>
      </c>
      <c r="I19" s="166"/>
      <c r="J19" s="166"/>
    </row>
    <row r="20" spans="1:14" ht="15" customHeight="1" x14ac:dyDescent="0.25">
      <c r="A20" s="129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129">
        <v>3</v>
      </c>
      <c r="B21" s="155" t="s">
        <v>249</v>
      </c>
      <c r="C21" s="155"/>
      <c r="D21" s="155"/>
      <c r="E21" s="155"/>
      <c r="F21" s="155"/>
      <c r="G21" s="155"/>
      <c r="H21" s="167">
        <v>3500</v>
      </c>
      <c r="I21" s="167"/>
      <c r="J21" s="167"/>
    </row>
    <row r="22" spans="1:14" ht="37.9" customHeight="1" x14ac:dyDescent="0.25">
      <c r="A22" s="129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Neuropsicopedagogo 10h semanais</v>
      </c>
      <c r="I22" s="166"/>
      <c r="J22" s="166"/>
    </row>
    <row r="23" spans="1:14" ht="15" customHeight="1" x14ac:dyDescent="0.25">
      <c r="A23" s="129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129">
        <v>6</v>
      </c>
      <c r="B24" s="155" t="s">
        <v>251</v>
      </c>
      <c r="C24" s="155"/>
      <c r="D24" s="155"/>
      <c r="E24" s="155"/>
      <c r="F24" s="155"/>
      <c r="G24" s="155"/>
      <c r="H24" s="184">
        <v>50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128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128" t="s">
        <v>28</v>
      </c>
    </row>
    <row r="27" spans="1:14" ht="15" customHeight="1" x14ac:dyDescent="0.25">
      <c r="A27" s="129" t="s">
        <v>5</v>
      </c>
      <c r="B27" s="175" t="s">
        <v>224</v>
      </c>
      <c r="C27" s="175"/>
      <c r="D27" s="175"/>
      <c r="E27" s="175"/>
      <c r="F27" s="175"/>
      <c r="G27" s="175"/>
      <c r="H27" s="175"/>
      <c r="I27" s="175"/>
      <c r="J27" s="114">
        <f>H21</f>
        <v>3500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3500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3500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25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291.55</v>
      </c>
    </row>
    <row r="40" spans="1:10" ht="15" customHeight="1" x14ac:dyDescent="0.25">
      <c r="A40" s="125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97.3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388.85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143.1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531.95000000000005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127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128" t="s">
        <v>44</v>
      </c>
      <c r="J46" s="128" t="s">
        <v>45</v>
      </c>
    </row>
    <row r="47" spans="1:10" x14ac:dyDescent="0.25">
      <c r="A47" s="125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700</v>
      </c>
    </row>
    <row r="48" spans="1:10" x14ac:dyDescent="0.25">
      <c r="A48" s="125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87.5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105</v>
      </c>
    </row>
    <row r="50" spans="1:10" x14ac:dyDescent="0.25">
      <c r="A50" s="125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52.5</v>
      </c>
    </row>
    <row r="51" spans="1:10" x14ac:dyDescent="0.25">
      <c r="A51" s="125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35</v>
      </c>
    </row>
    <row r="52" spans="1:10" x14ac:dyDescent="0.25">
      <c r="A52" s="125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21</v>
      </c>
    </row>
    <row r="53" spans="1:10" x14ac:dyDescent="0.25">
      <c r="A53" s="125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7</v>
      </c>
    </row>
    <row r="54" spans="1:10" x14ac:dyDescent="0.25">
      <c r="A54" s="125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280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1288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127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128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10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25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126"/>
    </row>
    <row r="62" spans="1:10" x14ac:dyDescent="0.25">
      <c r="A62" s="125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126"/>
    </row>
    <row r="63" spans="1:10" x14ac:dyDescent="0.25">
      <c r="A63" s="125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25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25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25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25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299.7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128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128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531.95000000000005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1288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299.7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2119.65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127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127" t="s">
        <v>77</v>
      </c>
      <c r="K81" s="83"/>
    </row>
    <row r="82" spans="1:11" ht="39" customHeight="1" x14ac:dyDescent="0.25">
      <c r="A82" s="125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1.46</v>
      </c>
      <c r="K82"/>
    </row>
    <row r="83" spans="1:11" ht="15" customHeight="1" x14ac:dyDescent="0.25">
      <c r="A83" s="125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4.2857142857142855E-4</v>
      </c>
      <c r="J83" s="23">
        <f>ROUND($J$82*I54,2)</f>
        <v>0.12</v>
      </c>
    </row>
    <row r="84" spans="1:11" ht="50.25" customHeight="1" x14ac:dyDescent="0.25">
      <c r="A84" s="125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8.4</v>
      </c>
    </row>
    <row r="85" spans="1:11" ht="26.25" customHeight="1" x14ac:dyDescent="0.25">
      <c r="A85" s="125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6.81</v>
      </c>
    </row>
    <row r="86" spans="1:11" ht="28.5" customHeight="1" x14ac:dyDescent="0.25">
      <c r="A86" s="125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2.5099999999999998</v>
      </c>
    </row>
    <row r="87" spans="1:11" ht="26.25" customHeight="1" x14ac:dyDescent="0.25">
      <c r="A87" s="125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131.6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150.89999999999998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4180.4000000000005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291.55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2.7772461965362163E-3</v>
      </c>
      <c r="J95" s="8">
        <f>ROUND((($J$91/30)*1)/12,2)</f>
        <v>11.61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2.0811405607118932E-4</v>
      </c>
      <c r="J96" s="8">
        <f>ROUND((($J$91/30)*5)/12*0.015,2)</f>
        <v>0.87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3.2532771983542243E-4</v>
      </c>
      <c r="J97" s="23">
        <f>ROUND(((($J$91/30)*15)/12)*0.0078,2)</f>
        <v>1.36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6.1955793703951767E-4</v>
      </c>
      <c r="J98" s="40">
        <f>ROUND(((($J$31+$J$31/3)*4/12)/12)*0.02,2)</f>
        <v>2.59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1.3888623098268106E-2</v>
      </c>
      <c r="J99" s="23">
        <f>ROUND(((($J$91/30)*5)/12),2)</f>
        <v>58.06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366.04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134.69999999999999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500.74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127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25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128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129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500.74</v>
      </c>
    </row>
    <row r="113" spans="1:15" ht="15" customHeight="1" x14ac:dyDescent="0.25">
      <c r="A113" s="129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500.74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127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127" t="s">
        <v>38</v>
      </c>
    </row>
    <row r="118" spans="1:15" x14ac:dyDescent="0.25">
      <c r="A118" s="125" t="s">
        <v>5</v>
      </c>
      <c r="B118" s="200" t="s">
        <v>213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25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25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25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127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128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6921.2899999999991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1384.26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8305.5499999999993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1495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9800.5499999999993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126" t="s">
        <v>64</v>
      </c>
    </row>
    <row r="132" spans="1:15" x14ac:dyDescent="0.25">
      <c r="A132" s="125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126" t="s">
        <v>64</v>
      </c>
    </row>
    <row r="133" spans="1:15" x14ac:dyDescent="0.25">
      <c r="A133" s="125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848.82</v>
      </c>
    </row>
    <row r="134" spans="1:15" x14ac:dyDescent="0.25">
      <c r="A134" s="125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184.28</v>
      </c>
    </row>
    <row r="135" spans="1:15" x14ac:dyDescent="0.25">
      <c r="A135" s="125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126" t="s">
        <v>64</v>
      </c>
    </row>
    <row r="136" spans="1:15" x14ac:dyDescent="0.25">
      <c r="A136" s="125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126" t="s">
        <v>64</v>
      </c>
    </row>
    <row r="137" spans="1:15" x14ac:dyDescent="0.25">
      <c r="A137" s="125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126" t="s">
        <v>64</v>
      </c>
    </row>
    <row r="138" spans="1:15" ht="15" customHeight="1" x14ac:dyDescent="0.25">
      <c r="A138" s="125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126" t="s">
        <v>64</v>
      </c>
    </row>
    <row r="139" spans="1:15" x14ac:dyDescent="0.25">
      <c r="A139" s="125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335.06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4247.420000000001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1368.16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3500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2119.65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150.89999999999998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500.74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6921.2899999999991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4247.420000000001</v>
      </c>
    </row>
    <row r="156" spans="1:11" ht="18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11168.71</v>
      </c>
    </row>
    <row r="157" spans="1:11" ht="17.45" customHeight="1" x14ac:dyDescent="0.25">
      <c r="A157" s="251" t="s">
        <v>227</v>
      </c>
      <c r="B157" s="251"/>
      <c r="C157" s="251"/>
      <c r="D157" s="251"/>
      <c r="E157" s="251"/>
      <c r="F157" s="251"/>
      <c r="G157" s="251"/>
      <c r="H157" s="251"/>
      <c r="I157" s="251"/>
      <c r="J157" s="252">
        <f>J156/50</f>
        <v>223.37419999999997</v>
      </c>
    </row>
    <row r="159" spans="1:11" x14ac:dyDescent="0.25">
      <c r="J159" s="56"/>
    </row>
  </sheetData>
  <mergeCells count="173">
    <mergeCell ref="A157:I157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52:I152"/>
    <mergeCell ref="B153:I153"/>
    <mergeCell ref="A154:I154"/>
    <mergeCell ref="B155:I155"/>
    <mergeCell ref="A156:I156"/>
    <mergeCell ref="A146:J146"/>
    <mergeCell ref="A147:J147"/>
    <mergeCell ref="A148:I148"/>
    <mergeCell ref="B149:I149"/>
    <mergeCell ref="B150:I150"/>
    <mergeCell ref="B151:I151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59"/>
  <sheetViews>
    <sheetView view="pageBreakPreview" topLeftCell="A151" zoomScaleNormal="85" zoomScaleSheetLayoutView="100" workbookViewId="0">
      <selection activeCell="B20" sqref="B20:G20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5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5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5" t="s">
        <v>10</v>
      </c>
      <c r="B11" s="155" t="s">
        <v>11</v>
      </c>
      <c r="C11" s="155"/>
      <c r="D11" s="155"/>
      <c r="E11" s="155"/>
      <c r="F11" s="155"/>
      <c r="G11" s="155"/>
      <c r="H11" s="249" t="s">
        <v>245</v>
      </c>
      <c r="I11" s="249"/>
      <c r="J11" s="249"/>
    </row>
    <row r="12" spans="1:25" ht="15" customHeight="1" x14ac:dyDescent="0.25">
      <c r="A12" s="5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257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5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Alimentador do sistema 10h semanais</v>
      </c>
      <c r="I19" s="166"/>
      <c r="J19" s="166"/>
    </row>
    <row r="20" spans="1:14" ht="15" customHeight="1" x14ac:dyDescent="0.25">
      <c r="A20" s="5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5">
        <v>3</v>
      </c>
      <c r="B21" s="155" t="s">
        <v>241</v>
      </c>
      <c r="C21" s="155"/>
      <c r="D21" s="155"/>
      <c r="E21" s="155"/>
      <c r="F21" s="155"/>
      <c r="G21" s="155"/>
      <c r="H21" s="167">
        <f>1888.97</f>
        <v>1888.97</v>
      </c>
      <c r="I21" s="167"/>
      <c r="J21" s="167"/>
    </row>
    <row r="22" spans="1:14" ht="15" customHeight="1" x14ac:dyDescent="0.25">
      <c r="A22" s="5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Alimentador do sistema 10h semanais</v>
      </c>
      <c r="I22" s="166"/>
      <c r="J22" s="166"/>
    </row>
    <row r="23" spans="1:14" ht="15" customHeight="1" x14ac:dyDescent="0.25">
      <c r="A23" s="5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5">
        <v>6</v>
      </c>
      <c r="B24" s="155" t="s">
        <v>251</v>
      </c>
      <c r="C24" s="155"/>
      <c r="D24" s="155"/>
      <c r="E24" s="155"/>
      <c r="F24" s="155"/>
      <c r="G24" s="155"/>
      <c r="H24" s="184">
        <v>50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6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6" t="s">
        <v>28</v>
      </c>
    </row>
    <row r="27" spans="1:14" ht="15" customHeight="1" x14ac:dyDescent="0.25">
      <c r="A27" s="5" t="s">
        <v>5</v>
      </c>
      <c r="B27" s="175" t="s">
        <v>207</v>
      </c>
      <c r="C27" s="175"/>
      <c r="D27" s="175"/>
      <c r="E27" s="175"/>
      <c r="F27" s="175"/>
      <c r="G27" s="175"/>
      <c r="H27" s="175"/>
      <c r="I27" s="175"/>
      <c r="J27" s="114">
        <f>H21/50*H24</f>
        <v>1888.97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1888.97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1888.97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3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157.35</v>
      </c>
    </row>
    <row r="40" spans="1:10" ht="15" customHeight="1" x14ac:dyDescent="0.25">
      <c r="A40" s="13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52.51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209.85999999999999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77.23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287.08999999999997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21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6" t="s">
        <v>44</v>
      </c>
      <c r="J46" s="6" t="s">
        <v>45</v>
      </c>
    </row>
    <row r="47" spans="1:10" x14ac:dyDescent="0.25">
      <c r="A47" s="13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377.79</v>
      </c>
    </row>
    <row r="48" spans="1:10" x14ac:dyDescent="0.25">
      <c r="A48" s="13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47.22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56.67</v>
      </c>
    </row>
    <row r="50" spans="1:10" x14ac:dyDescent="0.25">
      <c r="A50" s="13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28.33</v>
      </c>
    </row>
    <row r="51" spans="1:10" x14ac:dyDescent="0.25">
      <c r="A51" s="13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18.89</v>
      </c>
    </row>
    <row r="52" spans="1:10" x14ac:dyDescent="0.25">
      <c r="A52" s="13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11.33</v>
      </c>
    </row>
    <row r="53" spans="1:10" x14ac:dyDescent="0.25">
      <c r="A53" s="13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3.78</v>
      </c>
    </row>
    <row r="54" spans="1:10" x14ac:dyDescent="0.25">
      <c r="A54" s="13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151.12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695.13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21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6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106.66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3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27"/>
    </row>
    <row r="62" spans="1:10" x14ac:dyDescent="0.25">
      <c r="A62" s="13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27"/>
    </row>
    <row r="63" spans="1:10" x14ac:dyDescent="0.25">
      <c r="A63" s="13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3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3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3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3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396.36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6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6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287.08999999999997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695.13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396.36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1378.58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21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21" t="s">
        <v>77</v>
      </c>
      <c r="K81" s="83"/>
    </row>
    <row r="82" spans="1:11" ht="39" customHeight="1" x14ac:dyDescent="0.25">
      <c r="A82" s="13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0.79</v>
      </c>
      <c r="K82"/>
    </row>
    <row r="83" spans="1:11" ht="15" customHeight="1" x14ac:dyDescent="0.25">
      <c r="A83" s="13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3.9703546850185283E-4</v>
      </c>
      <c r="J83" s="23">
        <f>ROUND($J$82*I54,2)</f>
        <v>0.06</v>
      </c>
    </row>
    <row r="84" spans="1:11" ht="50.25" customHeight="1" x14ac:dyDescent="0.25">
      <c r="A84" s="13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4.53</v>
      </c>
    </row>
    <row r="85" spans="1:11" ht="26.25" customHeight="1" x14ac:dyDescent="0.25">
      <c r="A85" s="13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3.67</v>
      </c>
    </row>
    <row r="86" spans="1:11" ht="28.5" customHeight="1" x14ac:dyDescent="0.25">
      <c r="A86" s="13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1.35</v>
      </c>
    </row>
    <row r="87" spans="1:11" ht="26.25" customHeight="1" x14ac:dyDescent="0.25">
      <c r="A87" s="13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71.03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81.430000000000007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2256.1800000000003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157.35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2.7790335877456579E-3</v>
      </c>
      <c r="J95" s="8">
        <f>ROUND((($J$91/30)*1)/12,2)</f>
        <v>6.27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2.0831671231905251E-4</v>
      </c>
      <c r="J96" s="8">
        <f>ROUND((($J$91/30)*5)/12*0.015,2)</f>
        <v>0.47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3.2355574466576243E-4</v>
      </c>
      <c r="J97" s="23">
        <f>ROUND(((($J$91/30)*15)/12)*0.0078,2)</f>
        <v>0.73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6.2051786648228404E-4</v>
      </c>
      <c r="J98" s="40">
        <f>ROUND(((($J$31+$J$31/3)*4/12)/12)*0.02,2)</f>
        <v>1.4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1.3890735668253417E-2</v>
      </c>
      <c r="J99" s="23">
        <f>ROUND(((($J$91/30)*5)/12),2)</f>
        <v>31.34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197.56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72.7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270.26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21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3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6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5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270.26</v>
      </c>
    </row>
    <row r="113" spans="1:15" ht="15" customHeight="1" x14ac:dyDescent="0.25">
      <c r="A113" s="5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270.26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21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21" t="s">
        <v>38</v>
      </c>
    </row>
    <row r="118" spans="1:15" x14ac:dyDescent="0.25">
      <c r="A118" s="13" t="s">
        <v>5</v>
      </c>
      <c r="B118" s="200" t="s">
        <v>213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3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3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3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21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6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4269.24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853.85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5123.09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922.16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6045.25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27" t="s">
        <v>64</v>
      </c>
    </row>
    <row r="132" spans="1:15" x14ac:dyDescent="0.25">
      <c r="A132" s="13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27" t="s">
        <v>64</v>
      </c>
    </row>
    <row r="133" spans="1:15" x14ac:dyDescent="0.25">
      <c r="A133" s="13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523.58000000000004</v>
      </c>
    </row>
    <row r="134" spans="1:15" x14ac:dyDescent="0.25">
      <c r="A134" s="13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113.67</v>
      </c>
    </row>
    <row r="135" spans="1:15" x14ac:dyDescent="0.25">
      <c r="A135" s="13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27" t="s">
        <v>64</v>
      </c>
    </row>
    <row r="136" spans="1:15" x14ac:dyDescent="0.25">
      <c r="A136" s="13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27" t="s">
        <v>64</v>
      </c>
    </row>
    <row r="137" spans="1:15" x14ac:dyDescent="0.25">
      <c r="A137" s="13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27" t="s">
        <v>64</v>
      </c>
    </row>
    <row r="138" spans="1:15" ht="15" customHeight="1" x14ac:dyDescent="0.25">
      <c r="A138" s="13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27" t="s">
        <v>64</v>
      </c>
    </row>
    <row r="139" spans="1:15" x14ac:dyDescent="0.25">
      <c r="A139" s="13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206.68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2619.94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843.93000000000006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1888.97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1378.58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81.430000000000007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270.26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4269.24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2619.94</v>
      </c>
    </row>
    <row r="156" spans="1:11" ht="18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6889.18</v>
      </c>
    </row>
    <row r="157" spans="1:11" ht="17.45" customHeight="1" x14ac:dyDescent="0.25">
      <c r="A157" s="248" t="s">
        <v>227</v>
      </c>
      <c r="B157" s="248"/>
      <c r="C157" s="248"/>
      <c r="D157" s="248"/>
      <c r="E157" s="248"/>
      <c r="F157" s="248"/>
      <c r="G157" s="248"/>
      <c r="H157" s="248"/>
      <c r="I157" s="248"/>
      <c r="J157" s="45">
        <f>J156/50</f>
        <v>137.78360000000001</v>
      </c>
    </row>
    <row r="159" spans="1:11" x14ac:dyDescent="0.25">
      <c r="J159" s="56"/>
    </row>
  </sheetData>
  <mergeCells count="173">
    <mergeCell ref="A157:I157"/>
    <mergeCell ref="B152:I152"/>
    <mergeCell ref="B153:I153"/>
    <mergeCell ref="A154:I154"/>
    <mergeCell ref="B155:I155"/>
    <mergeCell ref="A156:I156"/>
    <mergeCell ref="A146:J146"/>
    <mergeCell ref="A147:J147"/>
    <mergeCell ref="A148:I148"/>
    <mergeCell ref="B149:I149"/>
    <mergeCell ref="B150:I150"/>
    <mergeCell ref="B151:I15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59"/>
  <sheetViews>
    <sheetView view="pageBreakPreview" topLeftCell="A4" zoomScaleNormal="85" zoomScaleSheetLayoutView="100" workbookViewId="0">
      <selection activeCell="H21" sqref="H21:J21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129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129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129" t="s">
        <v>10</v>
      </c>
      <c r="B11" s="155" t="s">
        <v>11</v>
      </c>
      <c r="C11" s="155"/>
      <c r="D11" s="155"/>
      <c r="E11" s="155"/>
      <c r="F11" s="155"/>
      <c r="G11" s="155"/>
      <c r="H11" s="249" t="s">
        <v>245</v>
      </c>
      <c r="I11" s="249"/>
      <c r="J11" s="249"/>
    </row>
    <row r="12" spans="1:25" ht="15" customHeight="1" x14ac:dyDescent="0.25">
      <c r="A12" s="129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256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129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Psicóloga Mestre em ABA 20h semanais</v>
      </c>
      <c r="I19" s="166"/>
      <c r="J19" s="166"/>
    </row>
    <row r="20" spans="1:14" ht="15" customHeight="1" x14ac:dyDescent="0.25">
      <c r="A20" s="129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129">
        <v>3</v>
      </c>
      <c r="B21" s="155" t="s">
        <v>240</v>
      </c>
      <c r="C21" s="155"/>
      <c r="D21" s="155"/>
      <c r="E21" s="155"/>
      <c r="F21" s="155"/>
      <c r="G21" s="155"/>
      <c r="H21" s="167">
        <v>5035.3500000000004</v>
      </c>
      <c r="I21" s="167"/>
      <c r="J21" s="167"/>
    </row>
    <row r="22" spans="1:14" ht="15" customHeight="1" x14ac:dyDescent="0.25">
      <c r="A22" s="129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Psicóloga Mestre em ABA 20h semanais</v>
      </c>
      <c r="I22" s="166"/>
      <c r="J22" s="166"/>
    </row>
    <row r="23" spans="1:14" ht="15" customHeight="1" x14ac:dyDescent="0.25">
      <c r="A23" s="129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129">
        <v>6</v>
      </c>
      <c r="B24" s="155" t="s">
        <v>251</v>
      </c>
      <c r="C24" s="155"/>
      <c r="D24" s="155"/>
      <c r="E24" s="155"/>
      <c r="F24" s="155"/>
      <c r="G24" s="155"/>
      <c r="H24" s="184">
        <v>100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128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128" t="s">
        <v>28</v>
      </c>
    </row>
    <row r="27" spans="1:14" ht="15" customHeight="1" x14ac:dyDescent="0.25">
      <c r="A27" s="129" t="s">
        <v>5</v>
      </c>
      <c r="B27" s="175" t="s">
        <v>207</v>
      </c>
      <c r="C27" s="175"/>
      <c r="D27" s="175"/>
      <c r="E27" s="175"/>
      <c r="F27" s="175"/>
      <c r="G27" s="175"/>
      <c r="H27" s="175"/>
      <c r="I27" s="175"/>
      <c r="J27" s="114">
        <f>H21/100*H24</f>
        <v>5035.3500000000004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5035.3500000000004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5035.3500000000004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25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419.44</v>
      </c>
    </row>
    <row r="40" spans="1:10" ht="15" customHeight="1" x14ac:dyDescent="0.25">
      <c r="A40" s="125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139.97999999999999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559.41999999999996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205.87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765.29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127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128" t="s">
        <v>44</v>
      </c>
      <c r="J46" s="128" t="s">
        <v>45</v>
      </c>
    </row>
    <row r="47" spans="1:10" x14ac:dyDescent="0.25">
      <c r="A47" s="125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1007.07</v>
      </c>
    </row>
    <row r="48" spans="1:10" x14ac:dyDescent="0.25">
      <c r="A48" s="125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125.88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151.06</v>
      </c>
    </row>
    <row r="50" spans="1:10" x14ac:dyDescent="0.25">
      <c r="A50" s="125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75.53</v>
      </c>
    </row>
    <row r="51" spans="1:10" x14ac:dyDescent="0.25">
      <c r="A51" s="125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50.35</v>
      </c>
    </row>
    <row r="52" spans="1:10" x14ac:dyDescent="0.25">
      <c r="A52" s="125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30.21</v>
      </c>
    </row>
    <row r="53" spans="1:10" x14ac:dyDescent="0.25">
      <c r="A53" s="125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10.07</v>
      </c>
    </row>
    <row r="54" spans="1:10" x14ac:dyDescent="0.25">
      <c r="A54" s="125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402.83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1852.9999999999998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127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128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0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25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126"/>
    </row>
    <row r="62" spans="1:10" x14ac:dyDescent="0.25">
      <c r="A62" s="125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126"/>
    </row>
    <row r="63" spans="1:10" x14ac:dyDescent="0.25">
      <c r="A63" s="125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25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25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25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25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289.7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128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128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765.29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1852.9999999999998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289.7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2907.99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127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127" t="s">
        <v>77</v>
      </c>
      <c r="K81" s="83"/>
    </row>
    <row r="82" spans="1:11" ht="39" customHeight="1" x14ac:dyDescent="0.25">
      <c r="A82" s="125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2.11</v>
      </c>
      <c r="K82"/>
    </row>
    <row r="83" spans="1:11" ht="15" customHeight="1" x14ac:dyDescent="0.25">
      <c r="A83" s="125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4.2201424918700199E-4</v>
      </c>
      <c r="J83" s="23">
        <f>ROUND($J$82*I54,2)</f>
        <v>0.17</v>
      </c>
    </row>
    <row r="84" spans="1:11" ht="50.25" customHeight="1" x14ac:dyDescent="0.25">
      <c r="A84" s="125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12.08</v>
      </c>
    </row>
    <row r="85" spans="1:11" ht="26.25" customHeight="1" x14ac:dyDescent="0.25">
      <c r="A85" s="125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9.7899999999999991</v>
      </c>
    </row>
    <row r="86" spans="1:11" ht="28.5" customHeight="1" x14ac:dyDescent="0.25">
      <c r="A86" s="125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3.6</v>
      </c>
    </row>
    <row r="87" spans="1:11" ht="26.25" customHeight="1" x14ac:dyDescent="0.25">
      <c r="A87" s="125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189.33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217.08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6014.2099999999991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419.44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2.7784197758309076E-3</v>
      </c>
      <c r="J95" s="8">
        <f>ROUND((($J$91/30)*1)/12,2)</f>
        <v>16.71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2.0784109633684226E-4</v>
      </c>
      <c r="J96" s="8">
        <f>ROUND((($J$91/30)*5)/12*0.015,2)</f>
        <v>1.25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3.2423211028547393E-4</v>
      </c>
      <c r="J97" s="23">
        <f>ROUND(((($J$91/30)*15)/12)*0.0078,2)</f>
        <v>1.95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6.2019783146913731E-4</v>
      </c>
      <c r="J98" s="40">
        <f>ROUND(((($J$31+$J$31/3)*4/12)/12)*0.02,2)</f>
        <v>3.73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1.3888773421613149E-2</v>
      </c>
      <c r="J99" s="23">
        <f>ROUND(((($J$91/30)*5)/12),2)</f>
        <v>83.53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526.61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193.79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720.4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127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25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128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129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720.4</v>
      </c>
    </row>
    <row r="113" spans="1:15" ht="15" customHeight="1" x14ac:dyDescent="0.25">
      <c r="A113" s="129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720.4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127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127" t="s">
        <v>38</v>
      </c>
    </row>
    <row r="118" spans="1:15" x14ac:dyDescent="0.25">
      <c r="A118" s="125" t="s">
        <v>5</v>
      </c>
      <c r="B118" s="200" t="s">
        <v>213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25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25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25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127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128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9530.82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1906.16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11436.98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2058.66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13495.64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126" t="s">
        <v>64</v>
      </c>
    </row>
    <row r="132" spans="1:15" x14ac:dyDescent="0.25">
      <c r="A132" s="125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126" t="s">
        <v>64</v>
      </c>
    </row>
    <row r="133" spans="1:15" x14ac:dyDescent="0.25">
      <c r="A133" s="125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1168.8499999999999</v>
      </c>
    </row>
    <row r="134" spans="1:15" x14ac:dyDescent="0.25">
      <c r="A134" s="125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253.76</v>
      </c>
    </row>
    <row r="135" spans="1:15" x14ac:dyDescent="0.25">
      <c r="A135" s="125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126" t="s">
        <v>64</v>
      </c>
    </row>
    <row r="136" spans="1:15" x14ac:dyDescent="0.25">
      <c r="A136" s="125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126" t="s">
        <v>64</v>
      </c>
    </row>
    <row r="137" spans="1:15" x14ac:dyDescent="0.25">
      <c r="A137" s="125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126" t="s">
        <v>64</v>
      </c>
    </row>
    <row r="138" spans="1:15" ht="15" customHeight="1" x14ac:dyDescent="0.25">
      <c r="A138" s="125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126" t="s">
        <v>64</v>
      </c>
    </row>
    <row r="139" spans="1:15" x14ac:dyDescent="0.25">
      <c r="A139" s="125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461.39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5848.8200000000006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1884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5035.3500000000004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2907.99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217.08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720.4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9530.82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5848.8200000000006</v>
      </c>
    </row>
    <row r="156" spans="1:11" ht="18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15379.64</v>
      </c>
    </row>
    <row r="157" spans="1:11" ht="17.45" customHeight="1" x14ac:dyDescent="0.25">
      <c r="A157" s="248" t="s">
        <v>227</v>
      </c>
      <c r="B157" s="248"/>
      <c r="C157" s="248"/>
      <c r="D157" s="248"/>
      <c r="E157" s="248"/>
      <c r="F157" s="248"/>
      <c r="G157" s="248"/>
      <c r="H157" s="248"/>
      <c r="I157" s="248"/>
      <c r="J157" s="45">
        <f>J156/100</f>
        <v>153.79640000000001</v>
      </c>
    </row>
    <row r="159" spans="1:11" x14ac:dyDescent="0.25">
      <c r="J159" s="56"/>
    </row>
  </sheetData>
  <mergeCells count="173">
    <mergeCell ref="A157:I157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52:I152"/>
    <mergeCell ref="B153:I153"/>
    <mergeCell ref="A154:I154"/>
    <mergeCell ref="B155:I155"/>
    <mergeCell ref="A156:I156"/>
    <mergeCell ref="A146:J146"/>
    <mergeCell ref="A147:J147"/>
    <mergeCell ref="A148:I148"/>
    <mergeCell ref="B149:I149"/>
    <mergeCell ref="B150:I150"/>
    <mergeCell ref="B151:I151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58"/>
  <sheetViews>
    <sheetView view="pageBreakPreview" zoomScaleNormal="85" zoomScaleSheetLayoutView="100" workbookViewId="0">
      <selection activeCell="B21" sqref="B21:G21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5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5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5" t="s">
        <v>10</v>
      </c>
      <c r="B11" s="155" t="s">
        <v>11</v>
      </c>
      <c r="C11" s="155"/>
      <c r="D11" s="155"/>
      <c r="E11" s="155"/>
      <c r="F11" s="155"/>
      <c r="G11" s="155"/>
      <c r="H11" s="157" t="s">
        <v>215</v>
      </c>
      <c r="I11" s="158"/>
      <c r="J11" s="158"/>
    </row>
    <row r="12" spans="1:25" ht="15" customHeight="1" x14ac:dyDescent="0.25">
      <c r="A12" s="5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255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5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Atendente Terapêutico 40h semanais</v>
      </c>
      <c r="I19" s="166"/>
      <c r="J19" s="166"/>
    </row>
    <row r="20" spans="1:14" ht="15" customHeight="1" x14ac:dyDescent="0.25">
      <c r="A20" s="5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5">
        <v>3</v>
      </c>
      <c r="B21" s="155" t="s">
        <v>244</v>
      </c>
      <c r="C21" s="155"/>
      <c r="D21" s="155"/>
      <c r="E21" s="155"/>
      <c r="F21" s="155"/>
      <c r="G21" s="155"/>
      <c r="H21" s="167">
        <v>3200</v>
      </c>
      <c r="I21" s="167"/>
      <c r="J21" s="167"/>
    </row>
    <row r="22" spans="1:14" ht="15" customHeight="1" x14ac:dyDescent="0.25">
      <c r="A22" s="5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Atendente Terapêutico 40h semanais</v>
      </c>
      <c r="I22" s="166"/>
      <c r="J22" s="166"/>
    </row>
    <row r="23" spans="1:14" ht="15" customHeight="1" x14ac:dyDescent="0.25">
      <c r="A23" s="5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5">
        <v>6</v>
      </c>
      <c r="B24" s="155" t="s">
        <v>251</v>
      </c>
      <c r="C24" s="155"/>
      <c r="D24" s="155"/>
      <c r="E24" s="155"/>
      <c r="F24" s="155"/>
      <c r="G24" s="155"/>
      <c r="H24" s="184">
        <v>200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6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6" t="s">
        <v>28</v>
      </c>
    </row>
    <row r="27" spans="1:14" ht="15" customHeight="1" x14ac:dyDescent="0.25">
      <c r="A27" s="5" t="s">
        <v>5</v>
      </c>
      <c r="B27" s="175" t="s">
        <v>207</v>
      </c>
      <c r="C27" s="175"/>
      <c r="D27" s="175"/>
      <c r="E27" s="175"/>
      <c r="F27" s="175"/>
      <c r="G27" s="175"/>
      <c r="H27" s="175"/>
      <c r="I27" s="175"/>
      <c r="J27" s="114">
        <f>H21/200*H24</f>
        <v>3200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3200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3200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3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266.56</v>
      </c>
    </row>
    <row r="40" spans="1:10" ht="15" customHeight="1" x14ac:dyDescent="0.25">
      <c r="A40" s="13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88.96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355.52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130.83000000000001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486.35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21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6" t="s">
        <v>44</v>
      </c>
      <c r="J46" s="6" t="s">
        <v>45</v>
      </c>
    </row>
    <row r="47" spans="1:10" x14ac:dyDescent="0.25">
      <c r="A47" s="13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640</v>
      </c>
    </row>
    <row r="48" spans="1:10" x14ac:dyDescent="0.25">
      <c r="A48" s="13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80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96</v>
      </c>
    </row>
    <row r="50" spans="1:10" x14ac:dyDescent="0.25">
      <c r="A50" s="13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48</v>
      </c>
    </row>
    <row r="51" spans="1:10" x14ac:dyDescent="0.25">
      <c r="A51" s="13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32</v>
      </c>
    </row>
    <row r="52" spans="1:10" x14ac:dyDescent="0.25">
      <c r="A52" s="13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19.2</v>
      </c>
    </row>
    <row r="53" spans="1:10" x14ac:dyDescent="0.25">
      <c r="A53" s="13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6.4</v>
      </c>
    </row>
    <row r="54" spans="1:10" x14ac:dyDescent="0.25">
      <c r="A54" s="13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256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1177.5999999999999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21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6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28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3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27"/>
    </row>
    <row r="62" spans="1:10" x14ac:dyDescent="0.25">
      <c r="A62" s="13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27"/>
    </row>
    <row r="63" spans="1:10" x14ac:dyDescent="0.25">
      <c r="A63" s="13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3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3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3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3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317.7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6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6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486.35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1177.5999999999999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317.7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1981.6499999999999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21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21" t="s">
        <v>77</v>
      </c>
      <c r="K81" s="83"/>
    </row>
    <row r="82" spans="1:11" ht="39" customHeight="1" x14ac:dyDescent="0.25">
      <c r="A82" s="13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1.34</v>
      </c>
      <c r="K82"/>
    </row>
    <row r="83" spans="1:11" ht="15" customHeight="1" x14ac:dyDescent="0.25">
      <c r="A83" s="13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4.296875E-4</v>
      </c>
      <c r="J83" s="23">
        <f>ROUND($J$82*I54,2)</f>
        <v>0.11</v>
      </c>
    </row>
    <row r="84" spans="1:11" ht="50.25" customHeight="1" x14ac:dyDescent="0.25">
      <c r="A84" s="13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7.68</v>
      </c>
    </row>
    <row r="85" spans="1:11" ht="26.25" customHeight="1" x14ac:dyDescent="0.25">
      <c r="A85" s="13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6.22</v>
      </c>
    </row>
    <row r="86" spans="1:11" ht="28.5" customHeight="1" x14ac:dyDescent="0.25">
      <c r="A86" s="13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2.29</v>
      </c>
    </row>
    <row r="87" spans="1:11" ht="26.25" customHeight="1" x14ac:dyDescent="0.25">
      <c r="A87" s="13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120.32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137.95999999999998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3822.08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266.56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2.778591761553918E-3</v>
      </c>
      <c r="J95" s="8">
        <f>ROUND((($J$91/30)*1)/12,2)</f>
        <v>10.62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2.0931011386470197E-4</v>
      </c>
      <c r="J96" s="8">
        <f>ROUND((($J$91/30)*5)/12*0.015,2)</f>
        <v>0.8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3.24430676490288E-4</v>
      </c>
      <c r="J97" s="23">
        <f>ROUND(((($J$91/30)*15)/12)*0.0078,2)</f>
        <v>1.24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6.2008121232417959E-4</v>
      </c>
      <c r="J98" s="40">
        <f>ROUND(((($J$31+$J$31/3)*4/12)/12)*0.02,2)</f>
        <v>2.37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1.3887726054922974E-2</v>
      </c>
      <c r="J99" s="23">
        <f>ROUND(((($J$91/30)*5)/12),2)</f>
        <v>53.08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334.67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123.16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457.83000000000004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21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3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6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5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457.83000000000004</v>
      </c>
    </row>
    <row r="113" spans="1:15" ht="15" customHeight="1" x14ac:dyDescent="0.25">
      <c r="A113" s="5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457.83000000000004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21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21" t="s">
        <v>38</v>
      </c>
    </row>
    <row r="118" spans="1:15" x14ac:dyDescent="0.25">
      <c r="A118" s="13" t="s">
        <v>5</v>
      </c>
      <c r="B118" s="200" t="s">
        <v>213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3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3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3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21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6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6427.44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1285.49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7712.9299999999994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1388.33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9101.2599999999984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27" t="s">
        <v>64</v>
      </c>
    </row>
    <row r="132" spans="1:15" x14ac:dyDescent="0.25">
      <c r="A132" s="13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27" t="s">
        <v>64</v>
      </c>
    </row>
    <row r="133" spans="1:15" x14ac:dyDescent="0.25">
      <c r="A133" s="13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788.26</v>
      </c>
    </row>
    <row r="134" spans="1:15" x14ac:dyDescent="0.25">
      <c r="A134" s="13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171.13</v>
      </c>
    </row>
    <row r="135" spans="1:15" x14ac:dyDescent="0.25">
      <c r="A135" s="13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27" t="s">
        <v>64</v>
      </c>
    </row>
    <row r="136" spans="1:15" x14ac:dyDescent="0.25">
      <c r="A136" s="13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27" t="s">
        <v>64</v>
      </c>
    </row>
    <row r="137" spans="1:15" x14ac:dyDescent="0.25">
      <c r="A137" s="13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27" t="s">
        <v>64</v>
      </c>
    </row>
    <row r="138" spans="1:15" ht="15" customHeight="1" x14ac:dyDescent="0.25">
      <c r="A138" s="13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27" t="s">
        <v>64</v>
      </c>
    </row>
    <row r="139" spans="1:15" x14ac:dyDescent="0.25">
      <c r="A139" s="13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311.14999999999998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3944.36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1270.54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3200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1981.6499999999999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137.95999999999998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457.83000000000004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6427.44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3944.36</v>
      </c>
    </row>
    <row r="156" spans="1:11" ht="18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10371.799999999999</v>
      </c>
    </row>
    <row r="157" spans="1:11" ht="15" customHeight="1" x14ac:dyDescent="0.25">
      <c r="A157" s="248" t="s">
        <v>227</v>
      </c>
      <c r="B157" s="248"/>
      <c r="C157" s="248"/>
      <c r="D157" s="248"/>
      <c r="E157" s="248"/>
      <c r="F157" s="248"/>
      <c r="G157" s="248"/>
      <c r="H157" s="248"/>
      <c r="I157" s="248"/>
      <c r="J157" s="45">
        <f>J156/200</f>
        <v>51.858999999999995</v>
      </c>
    </row>
    <row r="158" spans="1:11" x14ac:dyDescent="0.25">
      <c r="J158" s="56"/>
    </row>
  </sheetData>
  <mergeCells count="173">
    <mergeCell ref="A157:I157"/>
    <mergeCell ref="B152:I152"/>
    <mergeCell ref="B153:I153"/>
    <mergeCell ref="A154:I154"/>
    <mergeCell ref="B155:I155"/>
    <mergeCell ref="A156:I156"/>
    <mergeCell ref="A146:J146"/>
    <mergeCell ref="A147:J147"/>
    <mergeCell ref="A148:I148"/>
    <mergeCell ref="B149:I149"/>
    <mergeCell ref="B150:I150"/>
    <mergeCell ref="B151:I15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58"/>
  <sheetViews>
    <sheetView view="pageBreakPreview" zoomScaleNormal="85" zoomScaleSheetLayoutView="100" workbookViewId="0">
      <selection activeCell="B19" sqref="B19:G19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5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5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5" t="s">
        <v>10</v>
      </c>
      <c r="B11" s="155" t="s">
        <v>11</v>
      </c>
      <c r="C11" s="155"/>
      <c r="D11" s="155"/>
      <c r="E11" s="155"/>
      <c r="F11" s="155"/>
      <c r="G11" s="155"/>
      <c r="H11" s="249" t="s">
        <v>242</v>
      </c>
      <c r="I11" s="249"/>
      <c r="J11" s="249"/>
    </row>
    <row r="12" spans="1:25" ht="15" customHeight="1" x14ac:dyDescent="0.25">
      <c r="A12" s="5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254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5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Psicomotrocista 20h semanais</v>
      </c>
      <c r="I19" s="166"/>
      <c r="J19" s="166"/>
    </row>
    <row r="20" spans="1:14" ht="15" customHeight="1" x14ac:dyDescent="0.25">
      <c r="A20" s="5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5">
        <v>3</v>
      </c>
      <c r="B21" s="155" t="s">
        <v>243</v>
      </c>
      <c r="C21" s="155"/>
      <c r="D21" s="155"/>
      <c r="E21" s="155"/>
      <c r="F21" s="155"/>
      <c r="G21" s="155"/>
      <c r="H21" s="167">
        <v>4888.97</v>
      </c>
      <c r="I21" s="167"/>
      <c r="J21" s="167"/>
    </row>
    <row r="22" spans="1:14" ht="15" customHeight="1" x14ac:dyDescent="0.25">
      <c r="A22" s="5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Psicomotrocista 20h semanais</v>
      </c>
      <c r="I22" s="166"/>
      <c r="J22" s="166"/>
    </row>
    <row r="23" spans="1:14" ht="15" customHeight="1" x14ac:dyDescent="0.25">
      <c r="A23" s="5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5">
        <v>6</v>
      </c>
      <c r="B24" s="155" t="s">
        <v>251</v>
      </c>
      <c r="C24" s="155"/>
      <c r="D24" s="155"/>
      <c r="E24" s="155"/>
      <c r="F24" s="155"/>
      <c r="G24" s="155"/>
      <c r="H24" s="184">
        <f>20*5</f>
        <v>100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6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6" t="s">
        <v>28</v>
      </c>
    </row>
    <row r="27" spans="1:14" ht="15" customHeight="1" x14ac:dyDescent="0.25">
      <c r="A27" s="5" t="s">
        <v>5</v>
      </c>
      <c r="B27" s="175" t="s">
        <v>207</v>
      </c>
      <c r="C27" s="175"/>
      <c r="D27" s="175"/>
      <c r="E27" s="175"/>
      <c r="F27" s="175"/>
      <c r="G27" s="175"/>
      <c r="H27" s="175"/>
      <c r="I27" s="175"/>
      <c r="J27" s="114">
        <f>H21/100*H24</f>
        <v>4888.97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4888.97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4888.97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3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407.25</v>
      </c>
    </row>
    <row r="40" spans="1:10" ht="15" customHeight="1" x14ac:dyDescent="0.25">
      <c r="A40" s="13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135.91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543.16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199.88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743.04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21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6" t="s">
        <v>44</v>
      </c>
      <c r="J46" s="6" t="s">
        <v>45</v>
      </c>
    </row>
    <row r="47" spans="1:10" x14ac:dyDescent="0.25">
      <c r="A47" s="13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977.79</v>
      </c>
    </row>
    <row r="48" spans="1:10" x14ac:dyDescent="0.25">
      <c r="A48" s="13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122.22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146.66999999999999</v>
      </c>
    </row>
    <row r="50" spans="1:10" x14ac:dyDescent="0.25">
      <c r="A50" s="13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73.33</v>
      </c>
    </row>
    <row r="51" spans="1:10" x14ac:dyDescent="0.25">
      <c r="A51" s="13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48.89</v>
      </c>
    </row>
    <row r="52" spans="1:10" x14ac:dyDescent="0.25">
      <c r="A52" s="13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29.33</v>
      </c>
    </row>
    <row r="53" spans="1:10" x14ac:dyDescent="0.25">
      <c r="A53" s="13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9.7799999999999994</v>
      </c>
    </row>
    <row r="54" spans="1:10" x14ac:dyDescent="0.25">
      <c r="A54" s="13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391.12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1799.13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21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6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0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3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27"/>
    </row>
    <row r="62" spans="1:10" x14ac:dyDescent="0.25">
      <c r="A62" s="13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27"/>
    </row>
    <row r="63" spans="1:10" x14ac:dyDescent="0.25">
      <c r="A63" s="13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3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3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3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3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289.7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6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6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743.04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1799.13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289.7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2831.87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21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21" t="s">
        <v>77</v>
      </c>
      <c r="K81" s="83"/>
    </row>
    <row r="82" spans="1:11" ht="39" customHeight="1" x14ac:dyDescent="0.25">
      <c r="A82" s="13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2.04</v>
      </c>
      <c r="K82"/>
    </row>
    <row r="83" spans="1:11" ht="15" customHeight="1" x14ac:dyDescent="0.25">
      <c r="A83" s="13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4.0908161178155044E-4</v>
      </c>
      <c r="J83" s="23">
        <f>ROUND($J$82*I54,2)</f>
        <v>0.16</v>
      </c>
    </row>
    <row r="84" spans="1:11" ht="50.25" customHeight="1" x14ac:dyDescent="0.25">
      <c r="A84" s="13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11.73</v>
      </c>
    </row>
    <row r="85" spans="1:11" ht="26.25" customHeight="1" x14ac:dyDescent="0.25">
      <c r="A85" s="13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9.51</v>
      </c>
    </row>
    <row r="86" spans="1:11" ht="28.5" customHeight="1" x14ac:dyDescent="0.25">
      <c r="A86" s="13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3.5</v>
      </c>
    </row>
    <row r="87" spans="1:11" ht="26.25" customHeight="1" x14ac:dyDescent="0.25">
      <c r="A87" s="13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183.83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210.77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5839.38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407.25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2.7776921522490398E-3</v>
      </c>
      <c r="J95" s="8">
        <f>ROUND((($J$91/30)*1)/12,2)</f>
        <v>16.22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2.0892629011984149E-4</v>
      </c>
      <c r="J96" s="8">
        <f>ROUND((($J$91/30)*5)/12*0.015,2)</f>
        <v>1.22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3.2537700920303179E-4</v>
      </c>
      <c r="J97" s="23">
        <f>ROUND(((($J$91/30)*15)/12)*0.0078,2)</f>
        <v>1.9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6.1992882806051323E-4</v>
      </c>
      <c r="J98" s="40">
        <f>ROUND(((($J$31+$J$31/3)*4/12)/12)*0.02,2)</f>
        <v>3.62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1.3888460761245199E-2</v>
      </c>
      <c r="J99" s="23">
        <f>ROUND(((($J$91/30)*5)/12),2)</f>
        <v>81.099999999999994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511.31000000000006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188.16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699.47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21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3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6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5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699.47</v>
      </c>
    </row>
    <row r="113" spans="1:15" ht="15" customHeight="1" x14ac:dyDescent="0.25">
      <c r="A113" s="5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699.47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21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21" t="s">
        <v>38</v>
      </c>
    </row>
    <row r="118" spans="1:15" x14ac:dyDescent="0.25">
      <c r="A118" s="13" t="s">
        <v>5</v>
      </c>
      <c r="B118" s="200" t="s">
        <v>213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3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3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3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21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6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9281.08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1856.22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11137.3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2004.71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13142.009999999998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27" t="s">
        <v>64</v>
      </c>
    </row>
    <row r="132" spans="1:15" x14ac:dyDescent="0.25">
      <c r="A132" s="13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27" t="s">
        <v>64</v>
      </c>
    </row>
    <row r="133" spans="1:15" x14ac:dyDescent="0.25">
      <c r="A133" s="13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1138.23</v>
      </c>
    </row>
    <row r="134" spans="1:15" x14ac:dyDescent="0.25">
      <c r="A134" s="13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247.11</v>
      </c>
    </row>
    <row r="135" spans="1:15" x14ac:dyDescent="0.25">
      <c r="A135" s="13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27" t="s">
        <v>64</v>
      </c>
    </row>
    <row r="136" spans="1:15" x14ac:dyDescent="0.25">
      <c r="A136" s="13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27" t="s">
        <v>64</v>
      </c>
    </row>
    <row r="137" spans="1:15" x14ac:dyDescent="0.25">
      <c r="A137" s="13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27" t="s">
        <v>64</v>
      </c>
    </row>
    <row r="138" spans="1:15" ht="15" customHeight="1" x14ac:dyDescent="0.25">
      <c r="A138" s="13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27" t="s">
        <v>64</v>
      </c>
    </row>
    <row r="139" spans="1:15" x14ac:dyDescent="0.25">
      <c r="A139" s="13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449.3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5695.57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1834.64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4888.97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2831.87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210.77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699.47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9281.08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5695.57</v>
      </c>
    </row>
    <row r="156" spans="1:11" ht="18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14976.65</v>
      </c>
    </row>
    <row r="157" spans="1:11" ht="15" customHeight="1" x14ac:dyDescent="0.25">
      <c r="A157" s="248" t="s">
        <v>227</v>
      </c>
      <c r="B157" s="248"/>
      <c r="C157" s="248"/>
      <c r="D157" s="248"/>
      <c r="E157" s="248"/>
      <c r="F157" s="248"/>
      <c r="G157" s="248"/>
      <c r="H157" s="248"/>
      <c r="I157" s="248"/>
      <c r="J157" s="45">
        <f>J156/100</f>
        <v>149.76650000000001</v>
      </c>
    </row>
    <row r="158" spans="1:11" x14ac:dyDescent="0.25">
      <c r="J158" s="56"/>
    </row>
  </sheetData>
  <mergeCells count="173">
    <mergeCell ref="A157:I157"/>
    <mergeCell ref="B152:I152"/>
    <mergeCell ref="B153:I153"/>
    <mergeCell ref="A154:I154"/>
    <mergeCell ref="B155:I155"/>
    <mergeCell ref="A156:I156"/>
    <mergeCell ref="A2:J3"/>
    <mergeCell ref="A146:J146"/>
    <mergeCell ref="A147:J147"/>
    <mergeCell ref="A148:I148"/>
    <mergeCell ref="B149:I149"/>
    <mergeCell ref="B150:I150"/>
    <mergeCell ref="B151:I15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4:J4"/>
    <mergeCell ref="A5:G5"/>
    <mergeCell ref="H5:J5"/>
    <mergeCell ref="A6:G6"/>
    <mergeCell ref="H6:J6"/>
    <mergeCell ref="B11:G11"/>
    <mergeCell ref="H11:J11"/>
    <mergeCell ref="B12:G12"/>
    <mergeCell ref="H12:J12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58"/>
  <sheetViews>
    <sheetView view="pageBreakPreview" zoomScaleNormal="85" zoomScaleSheetLayoutView="100" workbookViewId="0">
      <selection activeCell="B24" sqref="B24:G24"/>
    </sheetView>
  </sheetViews>
  <sheetFormatPr defaultRowHeight="15" x14ac:dyDescent="0.25"/>
  <cols>
    <col min="7" max="7" width="7.7109375" customWidth="1"/>
    <col min="9" max="9" width="14.28515625" customWidth="1"/>
    <col min="10" max="10" width="15.42578125" customWidth="1"/>
    <col min="11" max="11" width="8.85546875" style="76"/>
    <col min="12" max="12" width="12.140625" style="76" bestFit="1" customWidth="1"/>
    <col min="13" max="20" width="8.85546875" style="76"/>
  </cols>
  <sheetData>
    <row r="2" spans="1:25" ht="21.6" customHeight="1" x14ac:dyDescent="0.25">
      <c r="A2" s="146" t="s">
        <v>221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25" ht="7.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  <c r="R3" s="77"/>
      <c r="S3" s="77"/>
      <c r="T3" s="77"/>
      <c r="U3" s="3"/>
      <c r="V3" s="3"/>
      <c r="W3" s="3"/>
      <c r="X3" s="3"/>
      <c r="Y3" s="3"/>
    </row>
    <row r="4" spans="1:25" ht="22.5" customHeight="1" x14ac:dyDescent="0.25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R4" s="77"/>
      <c r="S4" s="77"/>
      <c r="T4" s="77"/>
      <c r="U4" s="4"/>
      <c r="V4" s="4"/>
      <c r="W4" s="4"/>
      <c r="X4" s="4"/>
      <c r="Y4" s="4"/>
    </row>
    <row r="5" spans="1:25" ht="15" customHeight="1" x14ac:dyDescent="0.25">
      <c r="A5" s="153" t="s">
        <v>1</v>
      </c>
      <c r="B5" s="153"/>
      <c r="C5" s="153"/>
      <c r="D5" s="153"/>
      <c r="E5" s="153"/>
      <c r="F5" s="153"/>
      <c r="G5" s="153"/>
      <c r="H5" s="154">
        <v>0</v>
      </c>
      <c r="I5" s="154"/>
      <c r="J5" s="154"/>
    </row>
    <row r="6" spans="1:25" ht="15" customHeight="1" x14ac:dyDescent="0.25">
      <c r="A6" s="155" t="s">
        <v>2</v>
      </c>
      <c r="B6" s="155"/>
      <c r="C6" s="155"/>
      <c r="D6" s="155"/>
      <c r="E6" s="155"/>
      <c r="F6" s="155"/>
      <c r="G6" s="155"/>
      <c r="H6" s="156"/>
      <c r="I6" s="156"/>
      <c r="J6" s="156"/>
    </row>
    <row r="7" spans="1:25" x14ac:dyDescent="0.25">
      <c r="A7" s="155" t="s">
        <v>3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5" ht="15" customHeight="1" x14ac:dyDescent="0.25">
      <c r="A8" s="162" t="s">
        <v>4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25" ht="15" customHeight="1" x14ac:dyDescent="0.25">
      <c r="A9" s="129" t="s">
        <v>5</v>
      </c>
      <c r="B9" s="155" t="s">
        <v>6</v>
      </c>
      <c r="C9" s="155"/>
      <c r="D9" s="155"/>
      <c r="E9" s="155"/>
      <c r="F9" s="155"/>
      <c r="G9" s="155"/>
      <c r="H9" s="163">
        <v>45383</v>
      </c>
      <c r="I9" s="163"/>
      <c r="J9" s="163"/>
    </row>
    <row r="10" spans="1:25" ht="15" customHeight="1" x14ac:dyDescent="0.25">
      <c r="A10" s="129" t="s">
        <v>7</v>
      </c>
      <c r="B10" s="155" t="s">
        <v>8</v>
      </c>
      <c r="C10" s="155"/>
      <c r="D10" s="155"/>
      <c r="E10" s="155"/>
      <c r="F10" s="155"/>
      <c r="G10" s="155"/>
      <c r="H10" s="164" t="s">
        <v>217</v>
      </c>
      <c r="I10" s="164"/>
      <c r="J10" s="164"/>
    </row>
    <row r="11" spans="1:25" ht="28.5" customHeight="1" x14ac:dyDescent="0.25">
      <c r="A11" s="129" t="s">
        <v>10</v>
      </c>
      <c r="B11" s="155" t="s">
        <v>11</v>
      </c>
      <c r="C11" s="155"/>
      <c r="D11" s="155"/>
      <c r="E11" s="155"/>
      <c r="F11" s="155"/>
      <c r="G11" s="155"/>
      <c r="H11" s="249" t="s">
        <v>242</v>
      </c>
      <c r="I11" s="249"/>
      <c r="J11" s="249"/>
    </row>
    <row r="12" spans="1:25" ht="15" customHeight="1" x14ac:dyDescent="0.25">
      <c r="A12" s="129" t="s">
        <v>12</v>
      </c>
      <c r="B12" s="155" t="s">
        <v>13</v>
      </c>
      <c r="C12" s="155"/>
      <c r="D12" s="155"/>
      <c r="E12" s="155"/>
      <c r="F12" s="155"/>
      <c r="G12" s="155"/>
      <c r="H12" s="159">
        <v>12</v>
      </c>
      <c r="I12" s="159"/>
      <c r="J12" s="159"/>
    </row>
    <row r="13" spans="1:25" ht="25.5" customHeight="1" x14ac:dyDescent="0.25">
      <c r="A13" s="160" t="s">
        <v>14</v>
      </c>
      <c r="B13" s="160"/>
      <c r="C13" s="160"/>
      <c r="D13" s="160"/>
      <c r="E13" s="160" t="s">
        <v>15</v>
      </c>
      <c r="F13" s="160"/>
      <c r="G13" s="160"/>
      <c r="H13" s="161" t="s">
        <v>16</v>
      </c>
      <c r="I13" s="161"/>
      <c r="J13" s="161"/>
    </row>
    <row r="14" spans="1:25" ht="31.5" customHeight="1" x14ac:dyDescent="0.25">
      <c r="A14" s="168" t="s">
        <v>253</v>
      </c>
      <c r="B14" s="169"/>
      <c r="C14" s="169"/>
      <c r="D14" s="170"/>
      <c r="E14" s="160" t="s">
        <v>210</v>
      </c>
      <c r="F14" s="160"/>
      <c r="G14" s="160"/>
      <c r="H14" s="161">
        <v>1</v>
      </c>
      <c r="I14" s="161"/>
      <c r="J14" s="161"/>
    </row>
    <row r="15" spans="1:2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25" ht="19.5" customHeight="1" x14ac:dyDescent="0.25">
      <c r="A16" s="172" t="s">
        <v>208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4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4" ht="15" customHeight="1" x14ac:dyDescent="0.25">
      <c r="A18" s="165" t="s">
        <v>19</v>
      </c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4" ht="27" customHeight="1" x14ac:dyDescent="0.25">
      <c r="A19" s="129">
        <v>1</v>
      </c>
      <c r="B19" s="155" t="s">
        <v>20</v>
      </c>
      <c r="C19" s="155"/>
      <c r="D19" s="155"/>
      <c r="E19" s="155"/>
      <c r="F19" s="155"/>
      <c r="G19" s="155"/>
      <c r="H19" s="166" t="str">
        <f>A14</f>
        <v>Psicopedagogo 20h semanais</v>
      </c>
      <c r="I19" s="166"/>
      <c r="J19" s="166"/>
    </row>
    <row r="20" spans="1:14" ht="15" customHeight="1" x14ac:dyDescent="0.25">
      <c r="A20" s="129">
        <v>2</v>
      </c>
      <c r="B20" s="155" t="s">
        <v>21</v>
      </c>
      <c r="C20" s="155"/>
      <c r="D20" s="155"/>
      <c r="E20" s="155"/>
      <c r="F20" s="155"/>
      <c r="G20" s="155"/>
      <c r="H20" s="166" t="s">
        <v>211</v>
      </c>
      <c r="I20" s="166"/>
      <c r="J20" s="166"/>
    </row>
    <row r="21" spans="1:14" ht="27.75" customHeight="1" x14ac:dyDescent="0.25">
      <c r="A21" s="129">
        <v>3</v>
      </c>
      <c r="B21" s="155" t="s">
        <v>233</v>
      </c>
      <c r="C21" s="155"/>
      <c r="D21" s="155"/>
      <c r="E21" s="155"/>
      <c r="F21" s="155"/>
      <c r="G21" s="155"/>
      <c r="H21" s="167">
        <v>2409.88</v>
      </c>
      <c r="I21" s="167"/>
      <c r="J21" s="167"/>
    </row>
    <row r="22" spans="1:14" ht="15" customHeight="1" x14ac:dyDescent="0.25">
      <c r="A22" s="129">
        <v>4</v>
      </c>
      <c r="B22" s="155" t="s">
        <v>23</v>
      </c>
      <c r="C22" s="155"/>
      <c r="D22" s="155"/>
      <c r="E22" s="155"/>
      <c r="F22" s="155"/>
      <c r="G22" s="155"/>
      <c r="H22" s="166" t="str">
        <f>H19</f>
        <v>Psicopedagogo 20h semanais</v>
      </c>
      <c r="I22" s="166"/>
      <c r="J22" s="166"/>
    </row>
    <row r="23" spans="1:14" ht="15" customHeight="1" x14ac:dyDescent="0.25">
      <c r="A23" s="129">
        <v>5</v>
      </c>
      <c r="B23" s="155" t="s">
        <v>24</v>
      </c>
      <c r="C23" s="155"/>
      <c r="D23" s="155"/>
      <c r="E23" s="155"/>
      <c r="F23" s="155"/>
      <c r="G23" s="155"/>
      <c r="H23" s="182">
        <v>45383</v>
      </c>
      <c r="I23" s="183"/>
      <c r="J23" s="183"/>
    </row>
    <row r="24" spans="1:14" x14ac:dyDescent="0.25">
      <c r="A24" s="129">
        <v>6</v>
      </c>
      <c r="B24" s="155" t="s">
        <v>251</v>
      </c>
      <c r="C24" s="155"/>
      <c r="D24" s="155"/>
      <c r="E24" s="155"/>
      <c r="F24" s="155"/>
      <c r="G24" s="155"/>
      <c r="H24" s="184">
        <f>20*5</f>
        <v>100</v>
      </c>
      <c r="I24" s="184"/>
      <c r="J24" s="184"/>
    </row>
    <row r="25" spans="1:14" ht="15" customHeight="1" x14ac:dyDescent="0.25">
      <c r="A25" s="174" t="s">
        <v>25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4" ht="30" customHeight="1" x14ac:dyDescent="0.25">
      <c r="A26" s="128">
        <v>1</v>
      </c>
      <c r="B26" s="165" t="s">
        <v>26</v>
      </c>
      <c r="C26" s="165"/>
      <c r="D26" s="165"/>
      <c r="E26" s="165"/>
      <c r="F26" s="165"/>
      <c r="G26" s="165"/>
      <c r="H26" s="165" t="s">
        <v>27</v>
      </c>
      <c r="I26" s="165"/>
      <c r="J26" s="128" t="s">
        <v>28</v>
      </c>
    </row>
    <row r="27" spans="1:14" ht="15" customHeight="1" x14ac:dyDescent="0.25">
      <c r="A27" s="129" t="s">
        <v>5</v>
      </c>
      <c r="B27" s="175" t="s">
        <v>207</v>
      </c>
      <c r="C27" s="175"/>
      <c r="D27" s="175"/>
      <c r="E27" s="175"/>
      <c r="F27" s="175"/>
      <c r="G27" s="175"/>
      <c r="H27" s="175"/>
      <c r="I27" s="175"/>
      <c r="J27" s="114">
        <f>H21/100*H24</f>
        <v>2409.88</v>
      </c>
      <c r="L27" s="78"/>
      <c r="N27" s="79"/>
    </row>
    <row r="28" spans="1:14" ht="15" customHeight="1" x14ac:dyDescent="0.25">
      <c r="A28" s="7" t="s">
        <v>7</v>
      </c>
      <c r="B28" s="176" t="s">
        <v>29</v>
      </c>
      <c r="C28" s="177"/>
      <c r="D28" s="177"/>
      <c r="E28" s="177"/>
      <c r="F28" s="177"/>
      <c r="G28" s="177"/>
      <c r="H28" s="178"/>
      <c r="I28" s="115">
        <v>0</v>
      </c>
      <c r="J28" s="114">
        <f>ROUND(I28*J27,2)</f>
        <v>0</v>
      </c>
    </row>
    <row r="29" spans="1:14" ht="15" customHeight="1" x14ac:dyDescent="0.25">
      <c r="A29" s="7" t="s">
        <v>10</v>
      </c>
      <c r="B29" s="179" t="s">
        <v>209</v>
      </c>
      <c r="C29" s="180"/>
      <c r="D29" s="180"/>
      <c r="E29" s="180"/>
      <c r="F29" s="180"/>
      <c r="G29" s="180"/>
      <c r="H29" s="180"/>
      <c r="I29" s="181"/>
      <c r="J29" s="8">
        <v>0</v>
      </c>
    </row>
    <row r="30" spans="1:14" ht="15" customHeight="1" x14ac:dyDescent="0.25">
      <c r="A30" s="7" t="s">
        <v>12</v>
      </c>
      <c r="B30" s="179" t="s">
        <v>31</v>
      </c>
      <c r="C30" s="180"/>
      <c r="D30" s="180"/>
      <c r="E30" s="180"/>
      <c r="F30" s="180"/>
      <c r="G30" s="180"/>
      <c r="H30" s="180"/>
      <c r="I30" s="181"/>
      <c r="J30" s="8">
        <v>0</v>
      </c>
    </row>
    <row r="31" spans="1:14" ht="15" customHeight="1" x14ac:dyDescent="0.25">
      <c r="A31" s="192" t="s">
        <v>136</v>
      </c>
      <c r="B31" s="192"/>
      <c r="C31" s="192"/>
      <c r="D31" s="192"/>
      <c r="E31" s="192"/>
      <c r="F31" s="192"/>
      <c r="G31" s="192"/>
      <c r="H31" s="192"/>
      <c r="I31" s="192"/>
      <c r="J31" s="10">
        <f>SUM(J27:J30)</f>
        <v>2409.88</v>
      </c>
    </row>
    <row r="32" spans="1:14" ht="1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5" customHeight="1" x14ac:dyDescent="0.25">
      <c r="A33" s="92" t="s">
        <v>32</v>
      </c>
      <c r="B33" s="193" t="s">
        <v>212</v>
      </c>
      <c r="C33" s="194"/>
      <c r="D33" s="194"/>
      <c r="E33" s="194"/>
      <c r="F33" s="194"/>
      <c r="G33" s="194"/>
      <c r="H33" s="194"/>
      <c r="I33" s="195"/>
      <c r="J33" s="93">
        <v>0</v>
      </c>
    </row>
    <row r="34" spans="1:10" ht="15.75" customHeight="1" x14ac:dyDescent="0.25">
      <c r="A34" s="196" t="s">
        <v>135</v>
      </c>
      <c r="B34" s="197"/>
      <c r="C34" s="197"/>
      <c r="D34" s="197"/>
      <c r="E34" s="197"/>
      <c r="F34" s="197"/>
      <c r="G34" s="197"/>
      <c r="H34" s="197"/>
      <c r="I34" s="198"/>
      <c r="J34" s="59">
        <f>J31+J33</f>
        <v>2409.88</v>
      </c>
    </row>
    <row r="35" spans="1:10" ht="15" customHeight="1" x14ac:dyDescent="0.25">
      <c r="A35" s="199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5" customHeight="1" x14ac:dyDescent="0.25">
      <c r="A36" s="185" t="s">
        <v>34</v>
      </c>
      <c r="B36" s="186"/>
      <c r="C36" s="186"/>
      <c r="D36" s="186"/>
      <c r="E36" s="186"/>
      <c r="F36" s="186"/>
      <c r="G36" s="186"/>
      <c r="H36" s="186"/>
      <c r="I36" s="186"/>
      <c r="J36" s="187"/>
    </row>
    <row r="37" spans="1:10" x14ac:dyDescent="0.25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15" customHeight="1" x14ac:dyDescent="0.25">
      <c r="A38" s="11" t="s">
        <v>36</v>
      </c>
      <c r="B38" s="189" t="s">
        <v>37</v>
      </c>
      <c r="C38" s="189"/>
      <c r="D38" s="189"/>
      <c r="E38" s="189"/>
      <c r="F38" s="189"/>
      <c r="G38" s="189"/>
      <c r="H38" s="189"/>
      <c r="I38" s="189"/>
      <c r="J38" s="12" t="s">
        <v>38</v>
      </c>
    </row>
    <row r="39" spans="1:10" ht="15" customHeight="1" x14ac:dyDescent="0.25">
      <c r="A39" s="125" t="s">
        <v>5</v>
      </c>
      <c r="B39" s="155" t="s">
        <v>165</v>
      </c>
      <c r="C39" s="155"/>
      <c r="D39" s="155"/>
      <c r="E39" s="155"/>
      <c r="F39" s="155"/>
      <c r="G39" s="155"/>
      <c r="H39" s="155"/>
      <c r="I39" s="14">
        <v>8.3299999999999999E-2</v>
      </c>
      <c r="J39" s="15">
        <f>ROUND($J$31*I39,2)</f>
        <v>200.74</v>
      </c>
    </row>
    <row r="40" spans="1:10" ht="15" customHeight="1" x14ac:dyDescent="0.25">
      <c r="A40" s="125" t="s">
        <v>7</v>
      </c>
      <c r="B40" s="190" t="s">
        <v>164</v>
      </c>
      <c r="C40" s="190"/>
      <c r="D40" s="190"/>
      <c r="E40" s="190"/>
      <c r="F40" s="190"/>
      <c r="G40" s="190"/>
      <c r="H40" s="190"/>
      <c r="I40" s="14">
        <v>2.7799999999999998E-2</v>
      </c>
      <c r="J40" s="15">
        <f>ROUND($J$31*I40,2)</f>
        <v>66.989999999999995</v>
      </c>
    </row>
    <row r="41" spans="1:10" x14ac:dyDescent="0.25">
      <c r="A41" s="191" t="s">
        <v>39</v>
      </c>
      <c r="B41" s="191"/>
      <c r="C41" s="191"/>
      <c r="D41" s="191"/>
      <c r="E41" s="191"/>
      <c r="F41" s="191"/>
      <c r="G41" s="191"/>
      <c r="H41" s="191"/>
      <c r="I41" s="191"/>
      <c r="J41" s="15">
        <f>SUM(J39+J40)</f>
        <v>267.73</v>
      </c>
    </row>
    <row r="42" spans="1:10" x14ac:dyDescent="0.25">
      <c r="A42" s="18" t="s">
        <v>10</v>
      </c>
      <c r="B42" s="200" t="s">
        <v>40</v>
      </c>
      <c r="C42" s="200"/>
      <c r="D42" s="200"/>
      <c r="E42" s="200"/>
      <c r="F42" s="200"/>
      <c r="G42" s="200"/>
      <c r="H42" s="200"/>
      <c r="I42" s="200"/>
      <c r="J42" s="19">
        <f>ROUND(I55*J41,2)</f>
        <v>98.52</v>
      </c>
    </row>
    <row r="43" spans="1:10" x14ac:dyDescent="0.25">
      <c r="A43" s="202" t="s">
        <v>39</v>
      </c>
      <c r="B43" s="202"/>
      <c r="C43" s="202"/>
      <c r="D43" s="202"/>
      <c r="E43" s="202"/>
      <c r="F43" s="202"/>
      <c r="G43" s="202"/>
      <c r="H43" s="202"/>
      <c r="I43" s="202"/>
      <c r="J43" s="20">
        <f>J41+J42</f>
        <v>366.25</v>
      </c>
    </row>
    <row r="44" spans="1:10" ht="15" customHeigh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5" customHeight="1" x14ac:dyDescent="0.25">
      <c r="A45" s="203" t="s">
        <v>41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30" x14ac:dyDescent="0.25">
      <c r="A46" s="127" t="s">
        <v>42</v>
      </c>
      <c r="B46" s="204" t="s">
        <v>43</v>
      </c>
      <c r="C46" s="204"/>
      <c r="D46" s="204"/>
      <c r="E46" s="204"/>
      <c r="F46" s="204"/>
      <c r="G46" s="204"/>
      <c r="H46" s="204"/>
      <c r="I46" s="128" t="s">
        <v>44</v>
      </c>
      <c r="J46" s="128" t="s">
        <v>45</v>
      </c>
    </row>
    <row r="47" spans="1:10" x14ac:dyDescent="0.25">
      <c r="A47" s="125" t="s">
        <v>5</v>
      </c>
      <c r="B47" s="200" t="s">
        <v>46</v>
      </c>
      <c r="C47" s="200"/>
      <c r="D47" s="200"/>
      <c r="E47" s="200"/>
      <c r="F47" s="200"/>
      <c r="G47" s="200"/>
      <c r="H47" s="200"/>
      <c r="I47" s="22">
        <v>0.2</v>
      </c>
      <c r="J47" s="23">
        <f t="shared" ref="J47:J54" si="0">ROUND($J$31*I47,2)</f>
        <v>481.98</v>
      </c>
    </row>
    <row r="48" spans="1:10" x14ac:dyDescent="0.25">
      <c r="A48" s="125" t="s">
        <v>7</v>
      </c>
      <c r="B48" s="200" t="s">
        <v>47</v>
      </c>
      <c r="C48" s="200"/>
      <c r="D48" s="200"/>
      <c r="E48" s="200"/>
      <c r="F48" s="200"/>
      <c r="G48" s="200"/>
      <c r="H48" s="200"/>
      <c r="I48" s="22">
        <v>2.5000000000000001E-2</v>
      </c>
      <c r="J48" s="23">
        <f t="shared" si="0"/>
        <v>60.25</v>
      </c>
    </row>
    <row r="49" spans="1:10" x14ac:dyDescent="0.25">
      <c r="A49" s="104" t="s">
        <v>10</v>
      </c>
      <c r="B49" s="201" t="s">
        <v>48</v>
      </c>
      <c r="C49" s="201"/>
      <c r="D49" s="201"/>
      <c r="E49" s="116" t="s">
        <v>49</v>
      </c>
      <c r="F49" s="117">
        <v>0.03</v>
      </c>
      <c r="G49" s="116" t="s">
        <v>50</v>
      </c>
      <c r="H49" s="118">
        <v>1</v>
      </c>
      <c r="I49" s="119">
        <f>F49*H49</f>
        <v>0.03</v>
      </c>
      <c r="J49" s="106">
        <f t="shared" si="0"/>
        <v>72.3</v>
      </c>
    </row>
    <row r="50" spans="1:10" x14ac:dyDescent="0.25">
      <c r="A50" s="125" t="s">
        <v>12</v>
      </c>
      <c r="B50" s="200" t="s">
        <v>51</v>
      </c>
      <c r="C50" s="200"/>
      <c r="D50" s="200"/>
      <c r="E50" s="200"/>
      <c r="F50" s="200"/>
      <c r="G50" s="200"/>
      <c r="H50" s="200"/>
      <c r="I50" s="22">
        <v>1.4999999999999999E-2</v>
      </c>
      <c r="J50" s="23">
        <f t="shared" si="0"/>
        <v>36.15</v>
      </c>
    </row>
    <row r="51" spans="1:10" x14ac:dyDescent="0.25">
      <c r="A51" s="125" t="s">
        <v>32</v>
      </c>
      <c r="B51" s="200" t="s">
        <v>52</v>
      </c>
      <c r="C51" s="200"/>
      <c r="D51" s="200"/>
      <c r="E51" s="200"/>
      <c r="F51" s="200"/>
      <c r="G51" s="200"/>
      <c r="H51" s="200"/>
      <c r="I51" s="22">
        <v>0.01</v>
      </c>
      <c r="J51" s="23">
        <f t="shared" si="0"/>
        <v>24.1</v>
      </c>
    </row>
    <row r="52" spans="1:10" x14ac:dyDescent="0.25">
      <c r="A52" s="125" t="s">
        <v>53</v>
      </c>
      <c r="B52" s="200" t="s">
        <v>54</v>
      </c>
      <c r="C52" s="200"/>
      <c r="D52" s="200"/>
      <c r="E52" s="200"/>
      <c r="F52" s="200"/>
      <c r="G52" s="200"/>
      <c r="H52" s="200"/>
      <c r="I52" s="22">
        <v>6.0000000000000001E-3</v>
      </c>
      <c r="J52" s="23">
        <f t="shared" si="0"/>
        <v>14.46</v>
      </c>
    </row>
    <row r="53" spans="1:10" x14ac:dyDescent="0.25">
      <c r="A53" s="125" t="s">
        <v>55</v>
      </c>
      <c r="B53" s="200" t="s">
        <v>56</v>
      </c>
      <c r="C53" s="200"/>
      <c r="D53" s="200"/>
      <c r="E53" s="200"/>
      <c r="F53" s="200"/>
      <c r="G53" s="200"/>
      <c r="H53" s="200"/>
      <c r="I53" s="22">
        <v>2E-3</v>
      </c>
      <c r="J53" s="23">
        <f t="shared" si="0"/>
        <v>4.82</v>
      </c>
    </row>
    <row r="54" spans="1:10" x14ac:dyDescent="0.25">
      <c r="A54" s="125" t="s">
        <v>57</v>
      </c>
      <c r="B54" s="200" t="s">
        <v>58</v>
      </c>
      <c r="C54" s="200"/>
      <c r="D54" s="200"/>
      <c r="E54" s="200"/>
      <c r="F54" s="200"/>
      <c r="G54" s="200"/>
      <c r="H54" s="200"/>
      <c r="I54" s="22">
        <v>0.08</v>
      </c>
      <c r="J54" s="23">
        <f t="shared" si="0"/>
        <v>192.79</v>
      </c>
    </row>
    <row r="55" spans="1:10" x14ac:dyDescent="0.25">
      <c r="A55" s="202" t="s">
        <v>39</v>
      </c>
      <c r="B55" s="202"/>
      <c r="C55" s="202"/>
      <c r="D55" s="202"/>
      <c r="E55" s="202"/>
      <c r="F55" s="202"/>
      <c r="G55" s="202"/>
      <c r="H55" s="202"/>
      <c r="I55" s="25">
        <f>SUM(I47:I54)</f>
        <v>0.36800000000000005</v>
      </c>
      <c r="J55" s="20">
        <f>SUM(J47:J54)</f>
        <v>886.85</v>
      </c>
    </row>
    <row r="56" spans="1:10" ht="1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15" customHeight="1" x14ac:dyDescent="0.25">
      <c r="A57" s="203" t="s">
        <v>59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x14ac:dyDescent="0.25">
      <c r="A58" s="127" t="s">
        <v>60</v>
      </c>
      <c r="B58" s="204" t="s">
        <v>61</v>
      </c>
      <c r="C58" s="204"/>
      <c r="D58" s="204"/>
      <c r="E58" s="204"/>
      <c r="F58" s="204"/>
      <c r="G58" s="204"/>
      <c r="H58" s="204"/>
      <c r="I58" s="204"/>
      <c r="J58" s="128" t="s">
        <v>38</v>
      </c>
    </row>
    <row r="59" spans="1:10" ht="22.15" customHeight="1" x14ac:dyDescent="0.25">
      <c r="A59" s="104" t="s">
        <v>5</v>
      </c>
      <c r="B59" s="201" t="s">
        <v>62</v>
      </c>
      <c r="C59" s="201"/>
      <c r="D59" s="201"/>
      <c r="E59" s="201"/>
      <c r="F59" s="201"/>
      <c r="G59" s="201"/>
      <c r="H59" s="201"/>
      <c r="I59" s="201"/>
      <c r="J59" s="106">
        <f>IF(ROUND((I62*I60*I61)-(J27*0.06),2)&lt;0,0,ROUND((I62*I60*I61)-(J27*0.06),2))*1+(I60*I61*21.726-0.06*J27)*0</f>
        <v>75.41</v>
      </c>
    </row>
    <row r="60" spans="1:10" ht="24" customHeight="1" x14ac:dyDescent="0.25">
      <c r="A60" s="104"/>
      <c r="B60" s="205" t="s">
        <v>63</v>
      </c>
      <c r="C60" s="206"/>
      <c r="D60" s="206"/>
      <c r="E60" s="206"/>
      <c r="F60" s="206"/>
      <c r="G60" s="206"/>
      <c r="H60" s="207"/>
      <c r="I60" s="122">
        <v>5</v>
      </c>
      <c r="J60" s="121" t="s">
        <v>64</v>
      </c>
    </row>
    <row r="61" spans="1:10" x14ac:dyDescent="0.25">
      <c r="A61" s="125"/>
      <c r="B61" s="208" t="s">
        <v>65</v>
      </c>
      <c r="C61" s="208"/>
      <c r="D61" s="208"/>
      <c r="E61" s="208"/>
      <c r="F61" s="208"/>
      <c r="G61" s="208"/>
      <c r="H61" s="208"/>
      <c r="I61" s="28">
        <v>2</v>
      </c>
      <c r="J61" s="126"/>
    </row>
    <row r="62" spans="1:10" x14ac:dyDescent="0.25">
      <c r="A62" s="125"/>
      <c r="B62" s="208" t="s">
        <v>66</v>
      </c>
      <c r="C62" s="208"/>
      <c r="D62" s="208"/>
      <c r="E62" s="208"/>
      <c r="F62" s="208"/>
      <c r="G62" s="208"/>
      <c r="H62" s="208"/>
      <c r="I62" s="29">
        <v>22</v>
      </c>
      <c r="J62" s="126"/>
    </row>
    <row r="63" spans="1:10" x14ac:dyDescent="0.25">
      <c r="A63" s="125" t="s">
        <v>7</v>
      </c>
      <c r="B63" s="201" t="s">
        <v>139</v>
      </c>
      <c r="C63" s="201"/>
      <c r="D63" s="201"/>
      <c r="E63" s="201"/>
      <c r="F63" s="201"/>
      <c r="G63" s="201"/>
      <c r="H63" s="201"/>
      <c r="I63" s="201"/>
      <c r="J63" s="106">
        <f>ROUND(I65*I64*(1-0.2),2)*1+ROUND(21.726*6*(1-0.2),2)*0</f>
        <v>289.7</v>
      </c>
    </row>
    <row r="64" spans="1:10" ht="28.5" customHeight="1" x14ac:dyDescent="0.25">
      <c r="A64" s="125"/>
      <c r="B64" s="209" t="s">
        <v>137</v>
      </c>
      <c r="C64" s="209"/>
      <c r="D64" s="209"/>
      <c r="E64" s="209"/>
      <c r="F64" s="209"/>
      <c r="G64" s="209"/>
      <c r="H64" s="209"/>
      <c r="I64" s="122">
        <v>16.46</v>
      </c>
      <c r="J64" s="121" t="s">
        <v>64</v>
      </c>
    </row>
    <row r="65" spans="1:11" ht="24" customHeight="1" x14ac:dyDescent="0.25">
      <c r="A65" s="32"/>
      <c r="B65" s="205" t="s">
        <v>138</v>
      </c>
      <c r="C65" s="206"/>
      <c r="D65" s="206"/>
      <c r="E65" s="206"/>
      <c r="F65" s="206"/>
      <c r="G65" s="206"/>
      <c r="H65" s="207"/>
      <c r="I65" s="120">
        <v>22</v>
      </c>
      <c r="J65" s="121"/>
    </row>
    <row r="66" spans="1:11" ht="15" customHeight="1" x14ac:dyDescent="0.25">
      <c r="A66" s="125" t="s">
        <v>10</v>
      </c>
      <c r="B66" s="201" t="s">
        <v>133</v>
      </c>
      <c r="C66" s="201"/>
      <c r="D66" s="201"/>
      <c r="E66" s="201"/>
      <c r="F66" s="201"/>
      <c r="G66" s="201"/>
      <c r="H66" s="201"/>
      <c r="I66" s="201"/>
      <c r="J66" s="121"/>
    </row>
    <row r="67" spans="1:11" x14ac:dyDescent="0.25">
      <c r="A67" s="32"/>
      <c r="B67" s="209" t="s">
        <v>140</v>
      </c>
      <c r="C67" s="209"/>
      <c r="D67" s="209"/>
      <c r="E67" s="209"/>
      <c r="F67" s="209"/>
      <c r="G67" s="209"/>
      <c r="H67" s="209"/>
      <c r="I67" s="122">
        <v>0</v>
      </c>
      <c r="J67" s="121">
        <f>ROUND(I68*I67*(1-0.19),2)*1+ROUND(21.726*6*(1-0.19),2)*0</f>
        <v>0</v>
      </c>
    </row>
    <row r="68" spans="1:11" ht="24.75" customHeight="1" x14ac:dyDescent="0.25">
      <c r="A68" s="32"/>
      <c r="B68" s="205" t="s">
        <v>134</v>
      </c>
      <c r="C68" s="206"/>
      <c r="D68" s="206"/>
      <c r="E68" s="206"/>
      <c r="F68" s="206"/>
      <c r="G68" s="206"/>
      <c r="H68" s="207"/>
      <c r="I68" s="120">
        <v>0</v>
      </c>
      <c r="J68" s="121"/>
    </row>
    <row r="69" spans="1:11" ht="15" customHeight="1" x14ac:dyDescent="0.25">
      <c r="A69" s="125" t="s">
        <v>12</v>
      </c>
      <c r="B69" s="155" t="s">
        <v>70</v>
      </c>
      <c r="C69" s="155"/>
      <c r="D69" s="155"/>
      <c r="E69" s="155"/>
      <c r="F69" s="155"/>
      <c r="G69" s="155"/>
      <c r="H69" s="155"/>
      <c r="I69" s="155"/>
      <c r="J69" s="23"/>
    </row>
    <row r="70" spans="1:11" ht="15" customHeight="1" x14ac:dyDescent="0.25">
      <c r="A70" s="125" t="s">
        <v>32</v>
      </c>
      <c r="B70" s="155" t="s">
        <v>71</v>
      </c>
      <c r="C70" s="155"/>
      <c r="D70" s="155"/>
      <c r="E70" s="155"/>
      <c r="F70" s="155"/>
      <c r="G70" s="155"/>
      <c r="H70" s="155"/>
      <c r="I70" s="155"/>
      <c r="J70" s="33">
        <v>0</v>
      </c>
    </row>
    <row r="71" spans="1:11" ht="15" customHeight="1" x14ac:dyDescent="0.25">
      <c r="A71" s="202" t="s">
        <v>33</v>
      </c>
      <c r="B71" s="202"/>
      <c r="C71" s="202"/>
      <c r="D71" s="202"/>
      <c r="E71" s="202"/>
      <c r="F71" s="202"/>
      <c r="G71" s="202"/>
      <c r="H71" s="202"/>
      <c r="I71" s="202"/>
      <c r="J71" s="20">
        <f>SUM(J59:J70)</f>
        <v>365.11</v>
      </c>
    </row>
    <row r="72" spans="1:11" ht="15" customHeigh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1" ht="15" customHeight="1" x14ac:dyDescent="0.25">
      <c r="A73" s="203" t="s">
        <v>72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15" customHeight="1" x14ac:dyDescent="0.25">
      <c r="A74" s="128">
        <v>2</v>
      </c>
      <c r="B74" s="165" t="s">
        <v>73</v>
      </c>
      <c r="C74" s="165"/>
      <c r="D74" s="165"/>
      <c r="E74" s="165"/>
      <c r="F74" s="165"/>
      <c r="G74" s="165"/>
      <c r="H74" s="165"/>
      <c r="I74" s="165"/>
      <c r="J74" s="128" t="s">
        <v>38</v>
      </c>
    </row>
    <row r="75" spans="1:11" ht="15" customHeight="1" x14ac:dyDescent="0.25">
      <c r="A75" s="34" t="s">
        <v>36</v>
      </c>
      <c r="B75" s="34"/>
      <c r="C75" s="210" t="s">
        <v>74</v>
      </c>
      <c r="D75" s="210"/>
      <c r="E75" s="210"/>
      <c r="F75" s="210"/>
      <c r="G75" s="210"/>
      <c r="H75" s="210"/>
      <c r="I75" s="210"/>
      <c r="J75" s="35">
        <f>J43</f>
        <v>366.25</v>
      </c>
    </row>
    <row r="76" spans="1:11" ht="15" customHeight="1" x14ac:dyDescent="0.25">
      <c r="A76" s="34" t="s">
        <v>42</v>
      </c>
      <c r="B76" s="34"/>
      <c r="C76" s="210" t="s">
        <v>43</v>
      </c>
      <c r="D76" s="210"/>
      <c r="E76" s="210"/>
      <c r="F76" s="210"/>
      <c r="G76" s="210"/>
      <c r="H76" s="210"/>
      <c r="I76" s="210"/>
      <c r="J76" s="35">
        <f>J55</f>
        <v>886.85</v>
      </c>
    </row>
    <row r="77" spans="1:11" ht="15" customHeight="1" x14ac:dyDescent="0.25">
      <c r="A77" s="34" t="s">
        <v>60</v>
      </c>
      <c r="B77" s="34"/>
      <c r="C77" s="210" t="s">
        <v>61</v>
      </c>
      <c r="D77" s="210"/>
      <c r="E77" s="210"/>
      <c r="F77" s="210"/>
      <c r="G77" s="210"/>
      <c r="H77" s="210"/>
      <c r="I77" s="210"/>
      <c r="J77" s="35">
        <f>J71</f>
        <v>365.11</v>
      </c>
    </row>
    <row r="78" spans="1:11" ht="40.15" customHeight="1" x14ac:dyDescent="0.25">
      <c r="A78" s="211" t="s">
        <v>39</v>
      </c>
      <c r="B78" s="211"/>
      <c r="C78" s="211"/>
      <c r="D78" s="211"/>
      <c r="E78" s="211"/>
      <c r="F78" s="211"/>
      <c r="G78" s="211"/>
      <c r="H78" s="211"/>
      <c r="I78" s="211"/>
      <c r="J78" s="36">
        <f>SUM(J75+J76+J77)</f>
        <v>1618.21</v>
      </c>
    </row>
    <row r="79" spans="1:11" ht="14.45" customHeigh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/>
    </row>
    <row r="80" spans="1:11" ht="40.15" customHeight="1" x14ac:dyDescent="0.25">
      <c r="A80" s="174" t="s">
        <v>75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ht="29.45" customHeight="1" x14ac:dyDescent="0.25">
      <c r="A81" s="127">
        <v>3</v>
      </c>
      <c r="B81" s="165" t="s">
        <v>76</v>
      </c>
      <c r="C81" s="165"/>
      <c r="D81" s="165"/>
      <c r="E81" s="165"/>
      <c r="F81" s="165"/>
      <c r="G81" s="165"/>
      <c r="H81" s="165"/>
      <c r="I81" s="165"/>
      <c r="J81" s="127" t="s">
        <v>77</v>
      </c>
      <c r="K81" s="83"/>
    </row>
    <row r="82" spans="1:11" ht="39" customHeight="1" x14ac:dyDescent="0.25">
      <c r="A82" s="125" t="s">
        <v>5</v>
      </c>
      <c r="B82" s="179" t="s">
        <v>170</v>
      </c>
      <c r="C82" s="180"/>
      <c r="D82" s="180"/>
      <c r="E82" s="180"/>
      <c r="F82" s="180"/>
      <c r="G82" s="180"/>
      <c r="H82" s="181"/>
      <c r="I82" s="82">
        <v>4.2000000000000002E-4</v>
      </c>
      <c r="J82" s="23">
        <f>ROUND((($J$31/12)+($J$39/12)+($J$31/12/12)+($J$40/12))*(30/30)*0.0042,2)</f>
        <v>1.01</v>
      </c>
      <c r="K82"/>
    </row>
    <row r="83" spans="1:11" ht="15" customHeight="1" x14ac:dyDescent="0.25">
      <c r="A83" s="125" t="s">
        <v>7</v>
      </c>
      <c r="B83" s="179" t="s">
        <v>78</v>
      </c>
      <c r="C83" s="180"/>
      <c r="D83" s="180"/>
      <c r="E83" s="180"/>
      <c r="F83" s="180"/>
      <c r="G83" s="180"/>
      <c r="H83" s="181"/>
      <c r="I83" s="82">
        <f>J83/J54</f>
        <v>4.1495928212044198E-4</v>
      </c>
      <c r="J83" s="23">
        <f>ROUND($J$82*I54,2)</f>
        <v>0.08</v>
      </c>
    </row>
    <row r="84" spans="1:11" ht="50.25" customHeight="1" x14ac:dyDescent="0.25">
      <c r="A84" s="125" t="s">
        <v>10</v>
      </c>
      <c r="B84" s="155" t="s">
        <v>149</v>
      </c>
      <c r="C84" s="155"/>
      <c r="D84" s="155"/>
      <c r="E84" s="155"/>
      <c r="F84" s="155"/>
      <c r="G84" s="155"/>
      <c r="H84" s="155"/>
      <c r="I84" s="37">
        <v>2.3999999999999998E-3</v>
      </c>
      <c r="J84" s="23">
        <f>ROUND($J$31*I84,2)</f>
        <v>5.78</v>
      </c>
    </row>
    <row r="85" spans="1:11" ht="26.25" customHeight="1" x14ac:dyDescent="0.25">
      <c r="A85" s="125" t="s">
        <v>12</v>
      </c>
      <c r="B85" s="179" t="s">
        <v>171</v>
      </c>
      <c r="C85" s="180"/>
      <c r="D85" s="180"/>
      <c r="E85" s="180"/>
      <c r="F85" s="180"/>
      <c r="G85" s="180"/>
      <c r="H85" s="181"/>
      <c r="I85" s="82">
        <v>1.9400000000000001E-3</v>
      </c>
      <c r="J85" s="23">
        <f>ROUND(((($J$31/30)*7)/$H$12)*0.1,2)</f>
        <v>4.6900000000000004</v>
      </c>
    </row>
    <row r="86" spans="1:11" ht="28.5" customHeight="1" x14ac:dyDescent="0.25">
      <c r="A86" s="125" t="s">
        <v>32</v>
      </c>
      <c r="B86" s="179" t="s">
        <v>79</v>
      </c>
      <c r="C86" s="180"/>
      <c r="D86" s="180"/>
      <c r="E86" s="180"/>
      <c r="F86" s="180"/>
      <c r="G86" s="180"/>
      <c r="H86" s="181"/>
      <c r="I86" s="84">
        <f>I85*I55</f>
        <v>7.1392000000000016E-4</v>
      </c>
      <c r="J86" s="23">
        <f>ROUND($I$55*J85,2)</f>
        <v>1.73</v>
      </c>
    </row>
    <row r="87" spans="1:11" ht="26.25" customHeight="1" x14ac:dyDescent="0.25">
      <c r="A87" s="125" t="s">
        <v>53</v>
      </c>
      <c r="B87" s="155" t="s">
        <v>148</v>
      </c>
      <c r="C87" s="155"/>
      <c r="D87" s="155"/>
      <c r="E87" s="155"/>
      <c r="F87" s="155"/>
      <c r="G87" s="155"/>
      <c r="H87" s="155"/>
      <c r="I87" s="37">
        <v>3.7600000000000001E-2</v>
      </c>
      <c r="J87" s="23">
        <f>ROUND($J$31*I87,2)</f>
        <v>90.61</v>
      </c>
    </row>
    <row r="88" spans="1:11" x14ac:dyDescent="0.25">
      <c r="A88" s="202" t="s">
        <v>39</v>
      </c>
      <c r="B88" s="202"/>
      <c r="C88" s="202"/>
      <c r="D88" s="202"/>
      <c r="E88" s="202"/>
      <c r="F88" s="202"/>
      <c r="G88" s="202"/>
      <c r="H88" s="202"/>
      <c r="I88" s="202"/>
      <c r="J88" s="20">
        <f>SUM(J82:J87)</f>
        <v>103.9</v>
      </c>
    </row>
    <row r="89" spans="1:11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1" ht="15" customHeight="1" x14ac:dyDescent="0.25">
      <c r="A90" s="174" t="s">
        <v>80</v>
      </c>
      <c r="B90" s="174"/>
      <c r="C90" s="174"/>
      <c r="D90" s="174"/>
      <c r="E90" s="174"/>
      <c r="F90" s="174"/>
      <c r="G90" s="174"/>
      <c r="H90" s="174"/>
      <c r="I90" s="174"/>
      <c r="J90" s="174"/>
      <c r="K90" s="85"/>
    </row>
    <row r="91" spans="1:11" ht="30.6" customHeight="1" x14ac:dyDescent="0.25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38">
        <f>J94+J31+J39+J40</f>
        <v>2878.3499999999995</v>
      </c>
    </row>
    <row r="92" spans="1:11" ht="27" customHeight="1" x14ac:dyDescent="0.2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1" ht="25.9" customHeight="1" x14ac:dyDescent="0.25">
      <c r="A93" s="39" t="s">
        <v>82</v>
      </c>
      <c r="B93" s="204" t="s">
        <v>83</v>
      </c>
      <c r="C93" s="204"/>
      <c r="D93" s="204"/>
      <c r="E93" s="204"/>
      <c r="F93" s="204"/>
      <c r="G93" s="204"/>
      <c r="H93" s="204"/>
      <c r="I93" s="204"/>
      <c r="J93" s="39" t="s">
        <v>38</v>
      </c>
    </row>
    <row r="94" spans="1:11" ht="21" customHeight="1" x14ac:dyDescent="0.25">
      <c r="A94" s="18" t="s">
        <v>5</v>
      </c>
      <c r="B94" s="155" t="s">
        <v>84</v>
      </c>
      <c r="C94" s="155"/>
      <c r="D94" s="155"/>
      <c r="E94" s="155"/>
      <c r="F94" s="155"/>
      <c r="G94" s="155"/>
      <c r="H94" s="155"/>
      <c r="I94" s="16">
        <v>8.3299999999999999E-2</v>
      </c>
      <c r="J94" s="23">
        <f>ROUND(($J$31*I94),2)</f>
        <v>200.74</v>
      </c>
    </row>
    <row r="95" spans="1:11" ht="32.450000000000003" customHeight="1" x14ac:dyDescent="0.25">
      <c r="A95" s="18" t="s">
        <v>7</v>
      </c>
      <c r="B95" s="179" t="s">
        <v>166</v>
      </c>
      <c r="C95" s="180"/>
      <c r="D95" s="180"/>
      <c r="E95" s="180"/>
      <c r="F95" s="180"/>
      <c r="G95" s="180"/>
      <c r="H95" s="181"/>
      <c r="I95" s="81">
        <f>J95/J91</f>
        <v>2.7793701252453668E-3</v>
      </c>
      <c r="J95" s="8">
        <f>ROUND((($J$91/30)*1)/12,2)</f>
        <v>8</v>
      </c>
    </row>
    <row r="96" spans="1:11" ht="21.75" customHeight="1" x14ac:dyDescent="0.25">
      <c r="A96" s="18" t="s">
        <v>10</v>
      </c>
      <c r="B96" s="179" t="s">
        <v>167</v>
      </c>
      <c r="C96" s="180"/>
      <c r="D96" s="180"/>
      <c r="E96" s="180"/>
      <c r="F96" s="180"/>
      <c r="G96" s="180"/>
      <c r="H96" s="181"/>
      <c r="I96" s="81">
        <f>J96/J91</f>
        <v>2.0845275939340249E-4</v>
      </c>
      <c r="J96" s="8">
        <f>ROUND((($J$91/30)*5)/12*0.015,2)</f>
        <v>0.6</v>
      </c>
    </row>
    <row r="97" spans="1:10" ht="27.75" customHeight="1" x14ac:dyDescent="0.25">
      <c r="A97" s="18" t="s">
        <v>12</v>
      </c>
      <c r="B97" s="179" t="s">
        <v>85</v>
      </c>
      <c r="C97" s="180"/>
      <c r="D97" s="180"/>
      <c r="E97" s="180"/>
      <c r="F97" s="180"/>
      <c r="G97" s="180"/>
      <c r="H97" s="181"/>
      <c r="I97" s="81">
        <f>J97/J91</f>
        <v>3.265759897163306E-4</v>
      </c>
      <c r="J97" s="23">
        <f>ROUND(((($J$91/30)*15)/12)*0.0078,2)</f>
        <v>0.94</v>
      </c>
    </row>
    <row r="98" spans="1:10" ht="25.5" customHeight="1" x14ac:dyDescent="0.25">
      <c r="A98" s="18" t="s">
        <v>32</v>
      </c>
      <c r="B98" s="179" t="s">
        <v>168</v>
      </c>
      <c r="C98" s="180"/>
      <c r="D98" s="180"/>
      <c r="E98" s="180"/>
      <c r="F98" s="180"/>
      <c r="G98" s="180"/>
      <c r="H98" s="181"/>
      <c r="I98" s="81">
        <f>J98/J91</f>
        <v>6.2188406552365081E-4</v>
      </c>
      <c r="J98" s="40">
        <f>ROUND(((($J$31+$J$31/3)*4/12)/12)*0.02,2)</f>
        <v>1.79</v>
      </c>
    </row>
    <row r="99" spans="1:10" ht="23.25" customHeight="1" x14ac:dyDescent="0.25">
      <c r="A99" s="41" t="s">
        <v>53</v>
      </c>
      <c r="B99" s="212" t="s">
        <v>169</v>
      </c>
      <c r="C99" s="213"/>
      <c r="D99" s="213"/>
      <c r="E99" s="213"/>
      <c r="F99" s="213"/>
      <c r="G99" s="213"/>
      <c r="H99" s="214"/>
      <c r="I99" s="86">
        <f>J99/J91</f>
        <v>1.3889902200913719E-2</v>
      </c>
      <c r="J99" s="23">
        <f>ROUND(((($J$91/30)*5)/12),2)</f>
        <v>39.979999999999997</v>
      </c>
    </row>
    <row r="100" spans="1:10" x14ac:dyDescent="0.25">
      <c r="A100" s="202" t="s">
        <v>39</v>
      </c>
      <c r="B100" s="202"/>
      <c r="C100" s="202"/>
      <c r="D100" s="202"/>
      <c r="E100" s="202"/>
      <c r="F100" s="202"/>
      <c r="G100" s="202"/>
      <c r="H100" s="202"/>
      <c r="I100" s="202"/>
      <c r="J100" s="42">
        <f>SUM(J94:J99)</f>
        <v>252.04999999999998</v>
      </c>
    </row>
    <row r="101" spans="1:10" x14ac:dyDescent="0.25">
      <c r="A101" s="18" t="s">
        <v>55</v>
      </c>
      <c r="B101" s="200" t="s">
        <v>86</v>
      </c>
      <c r="C101" s="200"/>
      <c r="D101" s="200"/>
      <c r="E101" s="200"/>
      <c r="F101" s="200"/>
      <c r="G101" s="200"/>
      <c r="H101" s="200"/>
      <c r="I101" s="200"/>
      <c r="J101" s="19">
        <f>ROUND(I55*J100,2)</f>
        <v>92.75</v>
      </c>
    </row>
    <row r="102" spans="1:10" x14ac:dyDescent="0.25">
      <c r="A102" s="202" t="s">
        <v>39</v>
      </c>
      <c r="B102" s="202"/>
      <c r="C102" s="202"/>
      <c r="D102" s="202"/>
      <c r="E102" s="202"/>
      <c r="F102" s="202"/>
      <c r="G102" s="202"/>
      <c r="H102" s="202"/>
      <c r="I102" s="202"/>
      <c r="J102" s="20">
        <f>SUM(J100:J101)</f>
        <v>344.79999999999995</v>
      </c>
    </row>
    <row r="103" spans="1:10" ht="15" customHeight="1" x14ac:dyDescent="0.25">
      <c r="A103" s="203" t="s">
        <v>87</v>
      </c>
      <c r="B103" s="203"/>
      <c r="C103" s="203"/>
      <c r="D103" s="203"/>
      <c r="E103" s="203"/>
      <c r="F103" s="203"/>
      <c r="G103" s="203"/>
      <c r="H103" s="203"/>
      <c r="I103" s="203"/>
      <c r="J103" s="203"/>
    </row>
    <row r="104" spans="1:10" x14ac:dyDescent="0.25">
      <c r="A104" s="127" t="s">
        <v>88</v>
      </c>
      <c r="B104" s="204" t="s">
        <v>89</v>
      </c>
      <c r="C104" s="204"/>
      <c r="D104" s="204"/>
      <c r="E104" s="204"/>
      <c r="F104" s="204"/>
      <c r="G104" s="204"/>
      <c r="H104" s="204"/>
      <c r="I104" s="204"/>
      <c r="J104" s="43" t="s">
        <v>38</v>
      </c>
    </row>
    <row r="105" spans="1:10" x14ac:dyDescent="0.25">
      <c r="A105" s="125" t="s">
        <v>5</v>
      </c>
      <c r="B105" s="200" t="s">
        <v>90</v>
      </c>
      <c r="C105" s="200"/>
      <c r="D105" s="200"/>
      <c r="E105" s="200"/>
      <c r="F105" s="200"/>
      <c r="G105" s="200"/>
      <c r="H105" s="200"/>
      <c r="I105" s="200"/>
      <c r="J105" s="23">
        <v>0</v>
      </c>
    </row>
    <row r="106" spans="1:10" ht="15" customHeight="1" x14ac:dyDescent="0.25">
      <c r="A106" s="218" t="s">
        <v>39</v>
      </c>
      <c r="B106" s="218"/>
      <c r="C106" s="218"/>
      <c r="D106" s="218"/>
      <c r="E106" s="218"/>
      <c r="F106" s="218"/>
      <c r="G106" s="218"/>
      <c r="H106" s="218"/>
      <c r="I106" s="218"/>
      <c r="J106" s="23">
        <v>0</v>
      </c>
    </row>
    <row r="107" spans="1:10" ht="15" customHeight="1" x14ac:dyDescent="0.25">
      <c r="A107" s="18" t="s">
        <v>7</v>
      </c>
      <c r="B107" s="200" t="s">
        <v>91</v>
      </c>
      <c r="C107" s="200"/>
      <c r="D107" s="200"/>
      <c r="E107" s="200"/>
      <c r="F107" s="200"/>
      <c r="G107" s="200"/>
      <c r="H107" s="200"/>
      <c r="I107" s="200"/>
      <c r="J107" s="19">
        <f>ROUND(I55*J106,2)</f>
        <v>0</v>
      </c>
    </row>
    <row r="108" spans="1:10" ht="15" customHeight="1" x14ac:dyDescent="0.25">
      <c r="A108" s="202" t="s">
        <v>39</v>
      </c>
      <c r="B108" s="202"/>
      <c r="C108" s="202"/>
      <c r="D108" s="202"/>
      <c r="E108" s="202"/>
      <c r="F108" s="202"/>
      <c r="G108" s="202"/>
      <c r="H108" s="202"/>
      <c r="I108" s="202"/>
      <c r="J108" s="20">
        <f>SUM(J106:J107)</f>
        <v>0</v>
      </c>
    </row>
    <row r="109" spans="1:10" ht="15" customHeight="1" x14ac:dyDescent="0.2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</row>
    <row r="110" spans="1:10" ht="15" customHeight="1" x14ac:dyDescent="0.25">
      <c r="A110" s="203" t="s">
        <v>92</v>
      </c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5" customHeight="1" x14ac:dyDescent="0.25">
      <c r="A111" s="128">
        <v>4</v>
      </c>
      <c r="B111" s="165" t="s">
        <v>93</v>
      </c>
      <c r="C111" s="165"/>
      <c r="D111" s="165"/>
      <c r="E111" s="165"/>
      <c r="F111" s="165"/>
      <c r="G111" s="165"/>
      <c r="H111" s="165"/>
      <c r="I111" s="165"/>
      <c r="J111" s="43" t="s">
        <v>38</v>
      </c>
    </row>
    <row r="112" spans="1:10" ht="15" customHeight="1" x14ac:dyDescent="0.25">
      <c r="A112" s="129" t="s">
        <v>82</v>
      </c>
      <c r="B112" s="155" t="s">
        <v>94</v>
      </c>
      <c r="C112" s="155"/>
      <c r="D112" s="155"/>
      <c r="E112" s="155"/>
      <c r="F112" s="155"/>
      <c r="G112" s="155"/>
      <c r="H112" s="155"/>
      <c r="I112" s="155"/>
      <c r="J112" s="23">
        <f>J102</f>
        <v>344.79999999999995</v>
      </c>
    </row>
    <row r="113" spans="1:15" ht="15" customHeight="1" x14ac:dyDescent="0.25">
      <c r="A113" s="129" t="s">
        <v>95</v>
      </c>
      <c r="B113" s="155" t="s">
        <v>96</v>
      </c>
      <c r="C113" s="155"/>
      <c r="D113" s="155"/>
      <c r="E113" s="155"/>
      <c r="F113" s="155"/>
      <c r="G113" s="155"/>
      <c r="H113" s="155"/>
      <c r="I113" s="155"/>
      <c r="J113" s="23">
        <f>J108</f>
        <v>0</v>
      </c>
    </row>
    <row r="114" spans="1:15" x14ac:dyDescent="0.25">
      <c r="A114" s="192" t="s">
        <v>39</v>
      </c>
      <c r="B114" s="192"/>
      <c r="C114" s="192"/>
      <c r="D114" s="192"/>
      <c r="E114" s="192"/>
      <c r="F114" s="192"/>
      <c r="G114" s="192"/>
      <c r="H114" s="192"/>
      <c r="I114" s="192"/>
      <c r="J114" s="20">
        <f>SUM(J112+J113)</f>
        <v>344.79999999999995</v>
      </c>
    </row>
    <row r="115" spans="1:15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</row>
    <row r="116" spans="1:15" ht="15" customHeight="1" x14ac:dyDescent="0.25">
      <c r="A116" s="174" t="s">
        <v>97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5" x14ac:dyDescent="0.25">
      <c r="A117" s="127">
        <v>5</v>
      </c>
      <c r="B117" s="204" t="s">
        <v>98</v>
      </c>
      <c r="C117" s="204"/>
      <c r="D117" s="204"/>
      <c r="E117" s="204"/>
      <c r="F117" s="204"/>
      <c r="G117" s="204"/>
      <c r="H117" s="204"/>
      <c r="I117" s="204"/>
      <c r="J117" s="127" t="s">
        <v>38</v>
      </c>
    </row>
    <row r="118" spans="1:15" x14ac:dyDescent="0.25">
      <c r="A118" s="125" t="s">
        <v>5</v>
      </c>
      <c r="B118" s="200" t="s">
        <v>213</v>
      </c>
      <c r="C118" s="200"/>
      <c r="D118" s="200"/>
      <c r="E118" s="200"/>
      <c r="F118" s="200"/>
      <c r="G118" s="200"/>
      <c r="H118" s="200"/>
      <c r="I118" s="200"/>
      <c r="J118" s="23">
        <v>250</v>
      </c>
    </row>
    <row r="119" spans="1:15" x14ac:dyDescent="0.25">
      <c r="A119" s="125" t="s">
        <v>7</v>
      </c>
      <c r="B119" s="200" t="s">
        <v>100</v>
      </c>
      <c r="C119" s="200"/>
      <c r="D119" s="200"/>
      <c r="E119" s="200"/>
      <c r="F119" s="200"/>
      <c r="G119" s="200"/>
      <c r="H119" s="200"/>
      <c r="I119" s="200"/>
      <c r="J119" s="44">
        <v>100</v>
      </c>
    </row>
    <row r="120" spans="1:15" ht="15" customHeight="1" x14ac:dyDescent="0.25">
      <c r="A120" s="125" t="s">
        <v>10</v>
      </c>
      <c r="B120" s="200" t="s">
        <v>223</v>
      </c>
      <c r="C120" s="200"/>
      <c r="D120" s="200"/>
      <c r="E120" s="200"/>
      <c r="F120" s="200"/>
      <c r="G120" s="200"/>
      <c r="H120" s="200"/>
      <c r="I120" s="200"/>
      <c r="J120" s="44">
        <v>250</v>
      </c>
    </row>
    <row r="121" spans="1:15" x14ac:dyDescent="0.25">
      <c r="A121" s="125" t="s">
        <v>12</v>
      </c>
      <c r="B121" s="200" t="s">
        <v>222</v>
      </c>
      <c r="C121" s="200"/>
      <c r="D121" s="200"/>
      <c r="E121" s="200"/>
      <c r="F121" s="200"/>
      <c r="G121" s="200"/>
      <c r="H121" s="200"/>
      <c r="I121" s="200"/>
      <c r="J121" s="44">
        <v>50</v>
      </c>
      <c r="K121"/>
      <c r="M121"/>
      <c r="N121"/>
      <c r="O121"/>
    </row>
    <row r="122" spans="1:15" ht="15" customHeight="1" x14ac:dyDescent="0.25">
      <c r="A122" s="202" t="s">
        <v>33</v>
      </c>
      <c r="B122" s="202"/>
      <c r="C122" s="202"/>
      <c r="D122" s="202"/>
      <c r="E122" s="202"/>
      <c r="F122" s="202"/>
      <c r="G122" s="202"/>
      <c r="H122" s="202"/>
      <c r="I122" s="202"/>
      <c r="J122" s="45">
        <f>SUM(J118:J121)</f>
        <v>650</v>
      </c>
      <c r="K122"/>
      <c r="L122" s="123"/>
      <c r="M122"/>
      <c r="N122"/>
      <c r="O122"/>
    </row>
    <row r="123" spans="1:15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/>
      <c r="L123" s="123">
        <f>J123*17</f>
        <v>0</v>
      </c>
      <c r="M123"/>
      <c r="N123"/>
      <c r="O123"/>
    </row>
    <row r="124" spans="1:15" ht="15" customHeight="1" x14ac:dyDescent="0.25">
      <c r="A124" s="174" t="s">
        <v>104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/>
      <c r="L124" s="123"/>
      <c r="M124"/>
      <c r="N124"/>
      <c r="O124"/>
    </row>
    <row r="125" spans="1:15" ht="30" x14ac:dyDescent="0.25">
      <c r="A125" s="127">
        <v>6</v>
      </c>
      <c r="B125" s="204" t="s">
        <v>105</v>
      </c>
      <c r="C125" s="204"/>
      <c r="D125" s="204"/>
      <c r="E125" s="204"/>
      <c r="F125" s="204"/>
      <c r="G125" s="204"/>
      <c r="H125" s="204"/>
      <c r="I125" s="128" t="s">
        <v>44</v>
      </c>
      <c r="J125" s="46" t="s">
        <v>106</v>
      </c>
      <c r="K125"/>
      <c r="L125" s="124"/>
      <c r="M125"/>
      <c r="N125"/>
      <c r="O125"/>
    </row>
    <row r="126" spans="1:15" ht="15" customHeight="1" x14ac:dyDescent="0.25">
      <c r="A126" s="155" t="s">
        <v>107</v>
      </c>
      <c r="B126" s="155"/>
      <c r="C126" s="155"/>
      <c r="D126" s="155"/>
      <c r="E126" s="155"/>
      <c r="F126" s="155"/>
      <c r="G126" s="155"/>
      <c r="H126" s="155"/>
      <c r="I126" s="47" t="s">
        <v>64</v>
      </c>
      <c r="J126" s="48">
        <f>SUM(J31+J78+J88+J114+J122)</f>
        <v>5126.79</v>
      </c>
      <c r="K126"/>
      <c r="L126" s="123"/>
      <c r="M126"/>
      <c r="N126"/>
      <c r="O126"/>
    </row>
    <row r="127" spans="1:15" ht="15.75" x14ac:dyDescent="0.25">
      <c r="A127" s="49" t="s">
        <v>5</v>
      </c>
      <c r="B127" s="219" t="s">
        <v>108</v>
      </c>
      <c r="C127" s="219"/>
      <c r="D127" s="219"/>
      <c r="E127" s="219"/>
      <c r="F127" s="219"/>
      <c r="G127" s="219"/>
      <c r="H127" s="219"/>
      <c r="I127" s="24">
        <v>0.2</v>
      </c>
      <c r="J127" s="23">
        <f>ROUND(I127*J126,2)</f>
        <v>1025.3599999999999</v>
      </c>
      <c r="K127"/>
      <c r="M127"/>
      <c r="N127"/>
      <c r="O127"/>
    </row>
    <row r="128" spans="1:15" ht="15" customHeight="1" x14ac:dyDescent="0.25">
      <c r="A128" s="155" t="s">
        <v>109</v>
      </c>
      <c r="B128" s="155"/>
      <c r="C128" s="155"/>
      <c r="D128" s="155"/>
      <c r="E128" s="155"/>
      <c r="F128" s="155"/>
      <c r="G128" s="155"/>
      <c r="H128" s="155"/>
      <c r="I128" s="50"/>
      <c r="J128" s="48">
        <f>SUM(J31+J78+J88+J114+J122+J127)</f>
        <v>6152.15</v>
      </c>
      <c r="K128"/>
      <c r="L128"/>
      <c r="M128"/>
      <c r="N128"/>
      <c r="O128"/>
    </row>
    <row r="129" spans="1:15" ht="15.75" x14ac:dyDescent="0.25">
      <c r="A129" s="49" t="s">
        <v>7</v>
      </c>
      <c r="B129" s="219" t="s">
        <v>110</v>
      </c>
      <c r="C129" s="219"/>
      <c r="D129" s="219"/>
      <c r="E129" s="219"/>
      <c r="F129" s="219"/>
      <c r="G129" s="219"/>
      <c r="H129" s="219"/>
      <c r="I129" s="24">
        <v>0.18</v>
      </c>
      <c r="J129" s="23">
        <f>ROUND(I129*J128,2)</f>
        <v>1107.3900000000001</v>
      </c>
      <c r="K129"/>
      <c r="L129"/>
      <c r="M129"/>
      <c r="N129"/>
      <c r="O129"/>
    </row>
    <row r="130" spans="1:15" ht="15" customHeight="1" x14ac:dyDescent="0.25">
      <c r="A130" s="155" t="s">
        <v>111</v>
      </c>
      <c r="B130" s="155"/>
      <c r="C130" s="155"/>
      <c r="D130" s="155"/>
      <c r="E130" s="155"/>
      <c r="F130" s="155"/>
      <c r="G130" s="155"/>
      <c r="H130" s="155"/>
      <c r="I130" s="50" t="s">
        <v>64</v>
      </c>
      <c r="J130" s="48">
        <f>SUM(J31+J78+J88+J114+J122+J127+J129)</f>
        <v>7259.54</v>
      </c>
      <c r="K130"/>
      <c r="L130"/>
      <c r="M130"/>
      <c r="N130"/>
      <c r="O130"/>
    </row>
    <row r="131" spans="1:15" ht="15.75" x14ac:dyDescent="0.25">
      <c r="A131" s="49" t="s">
        <v>10</v>
      </c>
      <c r="B131" s="219" t="s">
        <v>112</v>
      </c>
      <c r="C131" s="219"/>
      <c r="D131" s="219"/>
      <c r="E131" s="219"/>
      <c r="F131" s="219"/>
      <c r="G131" s="219"/>
      <c r="H131" s="219"/>
      <c r="I131" s="14" t="s">
        <v>64</v>
      </c>
      <c r="J131" s="126" t="s">
        <v>64</v>
      </c>
    </row>
    <row r="132" spans="1:15" x14ac:dyDescent="0.25">
      <c r="A132" s="125"/>
      <c r="B132" s="200" t="s">
        <v>113</v>
      </c>
      <c r="C132" s="200"/>
      <c r="D132" s="200"/>
      <c r="E132" s="200"/>
      <c r="F132" s="200"/>
      <c r="G132" s="200"/>
      <c r="H132" s="200"/>
      <c r="I132" s="14" t="s">
        <v>64</v>
      </c>
      <c r="J132" s="126" t="s">
        <v>64</v>
      </c>
    </row>
    <row r="133" spans="1:15" x14ac:dyDescent="0.25">
      <c r="A133" s="125"/>
      <c r="B133" s="200" t="s">
        <v>201</v>
      </c>
      <c r="C133" s="200"/>
      <c r="D133" s="200"/>
      <c r="E133" s="200"/>
      <c r="F133" s="200"/>
      <c r="G133" s="200"/>
      <c r="H133" s="200"/>
      <c r="I133" s="51">
        <v>7.5999999999999998E-2</v>
      </c>
      <c r="J133" s="23">
        <f>ROUND(($J$130/(1-$I$142))*I133,2)</f>
        <v>628.75</v>
      </c>
    </row>
    <row r="134" spans="1:15" x14ac:dyDescent="0.25">
      <c r="A134" s="125"/>
      <c r="B134" s="200" t="s">
        <v>202</v>
      </c>
      <c r="C134" s="200"/>
      <c r="D134" s="200"/>
      <c r="E134" s="200"/>
      <c r="F134" s="200"/>
      <c r="G134" s="200"/>
      <c r="H134" s="200"/>
      <c r="I134" s="51">
        <v>1.6500000000000001E-2</v>
      </c>
      <c r="J134" s="23">
        <f>ROUND(($J$130/(1-$I$142))*I134,2)</f>
        <v>136.5</v>
      </c>
    </row>
    <row r="135" spans="1:15" x14ac:dyDescent="0.25">
      <c r="A135" s="125"/>
      <c r="B135" s="155" t="s">
        <v>114</v>
      </c>
      <c r="C135" s="155"/>
      <c r="D135" s="155"/>
      <c r="E135" s="155"/>
      <c r="F135" s="155"/>
      <c r="G135" s="155"/>
      <c r="H135" s="155"/>
      <c r="I135" s="52" t="s">
        <v>64</v>
      </c>
      <c r="J135" s="126" t="s">
        <v>64</v>
      </c>
    </row>
    <row r="136" spans="1:15" x14ac:dyDescent="0.25">
      <c r="A136" s="125"/>
      <c r="B136" s="155" t="s">
        <v>115</v>
      </c>
      <c r="C136" s="155"/>
      <c r="D136" s="155"/>
      <c r="E136" s="155"/>
      <c r="F136" s="155"/>
      <c r="G136" s="155"/>
      <c r="H136" s="155"/>
      <c r="I136" s="52" t="s">
        <v>64</v>
      </c>
      <c r="J136" s="126" t="s">
        <v>64</v>
      </c>
    </row>
    <row r="137" spans="1:15" x14ac:dyDescent="0.25">
      <c r="A137" s="125"/>
      <c r="B137" s="200" t="s">
        <v>116</v>
      </c>
      <c r="C137" s="200"/>
      <c r="D137" s="200"/>
      <c r="E137" s="200"/>
      <c r="F137" s="200"/>
      <c r="G137" s="200"/>
      <c r="H137" s="200"/>
      <c r="I137" s="52" t="s">
        <v>64</v>
      </c>
      <c r="J137" s="126" t="s">
        <v>64</v>
      </c>
    </row>
    <row r="138" spans="1:15" ht="15" customHeight="1" x14ac:dyDescent="0.25">
      <c r="A138" s="125"/>
      <c r="B138" s="200" t="s">
        <v>117</v>
      </c>
      <c r="C138" s="200"/>
      <c r="D138" s="200"/>
      <c r="E138" s="200"/>
      <c r="F138" s="200"/>
      <c r="G138" s="200"/>
      <c r="H138" s="200"/>
      <c r="I138" s="52" t="s">
        <v>64</v>
      </c>
      <c r="J138" s="126" t="s">
        <v>64</v>
      </c>
    </row>
    <row r="139" spans="1:15" x14ac:dyDescent="0.25">
      <c r="A139" s="125"/>
      <c r="B139" s="200" t="s">
        <v>118</v>
      </c>
      <c r="C139" s="200"/>
      <c r="D139" s="200"/>
      <c r="E139" s="200"/>
      <c r="F139" s="200"/>
      <c r="G139" s="200"/>
      <c r="H139" s="200"/>
      <c r="I139" s="51">
        <v>0.03</v>
      </c>
      <c r="J139" s="23">
        <f>ROUND(($J$130/(1-$I$142))*I139,2)</f>
        <v>248.19</v>
      </c>
    </row>
    <row r="140" spans="1:15" x14ac:dyDescent="0.25">
      <c r="A140" s="202" t="s">
        <v>39</v>
      </c>
      <c r="B140" s="202"/>
      <c r="C140" s="202"/>
      <c r="D140" s="202"/>
      <c r="E140" s="202"/>
      <c r="F140" s="202"/>
      <c r="G140" s="202"/>
      <c r="H140" s="202"/>
      <c r="I140" s="202"/>
      <c r="J140" s="20">
        <f>SUM(J127+J129+J133+J134+J139)</f>
        <v>3146.19</v>
      </c>
    </row>
    <row r="141" spans="1:15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</row>
    <row r="142" spans="1:15" ht="15" customHeight="1" x14ac:dyDescent="0.25">
      <c r="A142" s="220" t="s">
        <v>119</v>
      </c>
      <c r="B142" s="220"/>
      <c r="C142" s="220"/>
      <c r="D142" s="220"/>
      <c r="E142" s="220"/>
      <c r="F142" s="220"/>
      <c r="G142" s="220"/>
      <c r="H142" s="220"/>
      <c r="I142" s="22">
        <f>SUM(I133:I139)</f>
        <v>0.1225</v>
      </c>
      <c r="J142" s="23">
        <f>SUM(J133:J139)</f>
        <v>1013.44</v>
      </c>
    </row>
    <row r="143" spans="1:15" ht="15.75" customHeight="1" x14ac:dyDescent="0.25">
      <c r="A143" s="221" t="s">
        <v>120</v>
      </c>
      <c r="B143" s="221"/>
      <c r="C143" s="221"/>
      <c r="D143" s="222" t="s">
        <v>121</v>
      </c>
      <c r="E143" s="222"/>
      <c r="F143" s="222"/>
      <c r="G143" s="222"/>
      <c r="H143" s="222"/>
      <c r="I143" s="222"/>
      <c r="J143" s="222"/>
    </row>
    <row r="144" spans="1:15" ht="15" customHeight="1" x14ac:dyDescent="0.25">
      <c r="A144" s="221"/>
      <c r="B144" s="221"/>
      <c r="C144" s="221"/>
      <c r="D144" s="222" t="s">
        <v>122</v>
      </c>
      <c r="E144" s="222"/>
      <c r="F144" s="222"/>
      <c r="G144" s="222"/>
      <c r="H144" s="222"/>
      <c r="I144" s="222"/>
      <c r="J144" s="222"/>
    </row>
    <row r="145" spans="1:11" ht="15" customHeight="1" x14ac:dyDescent="0.25">
      <c r="A145" s="221"/>
      <c r="B145" s="221"/>
      <c r="C145" s="221"/>
      <c r="D145" s="222" t="s">
        <v>123</v>
      </c>
      <c r="E145" s="222"/>
      <c r="F145" s="222"/>
      <c r="G145" s="222"/>
      <c r="H145" s="222"/>
      <c r="I145" s="222"/>
      <c r="J145" s="222"/>
    </row>
    <row r="146" spans="1:11" ht="15" customHeigh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1" ht="15" customHeight="1" x14ac:dyDescent="0.25">
      <c r="A147" s="225" t="s">
        <v>124</v>
      </c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1" ht="15" customHeight="1" x14ac:dyDescent="0.25">
      <c r="A148" s="226" t="s">
        <v>125</v>
      </c>
      <c r="B148" s="226"/>
      <c r="C148" s="226"/>
      <c r="D148" s="226"/>
      <c r="E148" s="226"/>
      <c r="F148" s="226"/>
      <c r="G148" s="226"/>
      <c r="H148" s="226"/>
      <c r="I148" s="226"/>
      <c r="J148" s="54" t="s">
        <v>38</v>
      </c>
    </row>
    <row r="149" spans="1:11" ht="15" customHeight="1" x14ac:dyDescent="0.25">
      <c r="A149" s="55" t="s">
        <v>5</v>
      </c>
      <c r="B149" s="223" t="s">
        <v>126</v>
      </c>
      <c r="C149" s="223"/>
      <c r="D149" s="223"/>
      <c r="E149" s="223"/>
      <c r="F149" s="223"/>
      <c r="G149" s="223"/>
      <c r="H149" s="223"/>
      <c r="I149" s="223"/>
      <c r="J149" s="44">
        <f>J34</f>
        <v>2409.88</v>
      </c>
    </row>
    <row r="150" spans="1:11" ht="15" customHeight="1" x14ac:dyDescent="0.25">
      <c r="A150" s="55" t="s">
        <v>7</v>
      </c>
      <c r="B150" s="223" t="s">
        <v>34</v>
      </c>
      <c r="C150" s="223"/>
      <c r="D150" s="223"/>
      <c r="E150" s="223"/>
      <c r="F150" s="223"/>
      <c r="G150" s="223"/>
      <c r="H150" s="223"/>
      <c r="I150" s="223"/>
      <c r="J150" s="44">
        <f>J78</f>
        <v>1618.21</v>
      </c>
    </row>
    <row r="151" spans="1:11" ht="15" customHeight="1" x14ac:dyDescent="0.25">
      <c r="A151" s="55" t="s">
        <v>10</v>
      </c>
      <c r="B151" s="223" t="s">
        <v>127</v>
      </c>
      <c r="C151" s="223"/>
      <c r="D151" s="223"/>
      <c r="E151" s="223"/>
      <c r="F151" s="223"/>
      <c r="G151" s="223"/>
      <c r="H151" s="223"/>
      <c r="I151" s="223"/>
      <c r="J151" s="44">
        <f>J88</f>
        <v>103.9</v>
      </c>
    </row>
    <row r="152" spans="1:11" ht="15" customHeight="1" x14ac:dyDescent="0.25">
      <c r="A152" s="55" t="s">
        <v>12</v>
      </c>
      <c r="B152" s="223" t="s">
        <v>128</v>
      </c>
      <c r="C152" s="223"/>
      <c r="D152" s="223"/>
      <c r="E152" s="223"/>
      <c r="F152" s="223"/>
      <c r="G152" s="223"/>
      <c r="H152" s="223"/>
      <c r="I152" s="223"/>
      <c r="J152" s="44">
        <f>J114</f>
        <v>344.79999999999995</v>
      </c>
      <c r="K152" s="80"/>
    </row>
    <row r="153" spans="1:11" ht="15" customHeight="1" x14ac:dyDescent="0.25">
      <c r="A153" s="55" t="s">
        <v>32</v>
      </c>
      <c r="B153" s="223" t="s">
        <v>129</v>
      </c>
      <c r="C153" s="223"/>
      <c r="D153" s="223"/>
      <c r="E153" s="223"/>
      <c r="F153" s="223"/>
      <c r="G153" s="223"/>
      <c r="H153" s="223"/>
      <c r="I153" s="223"/>
      <c r="J153" s="44">
        <f>J122</f>
        <v>650</v>
      </c>
    </row>
    <row r="154" spans="1:11" ht="15" customHeight="1" x14ac:dyDescent="0.25">
      <c r="A154" s="224" t="s">
        <v>130</v>
      </c>
      <c r="B154" s="224"/>
      <c r="C154" s="224"/>
      <c r="D154" s="224"/>
      <c r="E154" s="224"/>
      <c r="F154" s="224"/>
      <c r="G154" s="224"/>
      <c r="H154" s="224"/>
      <c r="I154" s="224"/>
      <c r="J154" s="45">
        <f>SUM(J149:J153)</f>
        <v>5126.79</v>
      </c>
    </row>
    <row r="155" spans="1:11" ht="15.75" customHeight="1" x14ac:dyDescent="0.25">
      <c r="A155" s="55" t="s">
        <v>53</v>
      </c>
      <c r="B155" s="223" t="s">
        <v>131</v>
      </c>
      <c r="C155" s="223"/>
      <c r="D155" s="223"/>
      <c r="E155" s="223"/>
      <c r="F155" s="223"/>
      <c r="G155" s="223"/>
      <c r="H155" s="223"/>
      <c r="I155" s="223"/>
      <c r="J155" s="44">
        <f>J140</f>
        <v>3146.19</v>
      </c>
    </row>
    <row r="156" spans="1:11" ht="18" customHeight="1" x14ac:dyDescent="0.25">
      <c r="A156" s="224" t="s">
        <v>132</v>
      </c>
      <c r="B156" s="224"/>
      <c r="C156" s="224"/>
      <c r="D156" s="224"/>
      <c r="E156" s="224"/>
      <c r="F156" s="224"/>
      <c r="G156" s="224"/>
      <c r="H156" s="224"/>
      <c r="I156" s="224"/>
      <c r="J156" s="45">
        <f>SUM(J154:J155)</f>
        <v>8272.98</v>
      </c>
    </row>
    <row r="157" spans="1:11" ht="15" customHeight="1" x14ac:dyDescent="0.25">
      <c r="A157" s="248" t="s">
        <v>227</v>
      </c>
      <c r="B157" s="248"/>
      <c r="C157" s="248"/>
      <c r="D157" s="248"/>
      <c r="E157" s="248"/>
      <c r="F157" s="248"/>
      <c r="G157" s="248"/>
      <c r="H157" s="248"/>
      <c r="I157" s="248"/>
      <c r="J157" s="45">
        <f>J156/100</f>
        <v>82.729799999999997</v>
      </c>
    </row>
    <row r="158" spans="1:11" x14ac:dyDescent="0.25">
      <c r="J158" s="56"/>
    </row>
  </sheetData>
  <mergeCells count="173">
    <mergeCell ref="A157:I157"/>
    <mergeCell ref="A2:J3"/>
    <mergeCell ref="A4:J4"/>
    <mergeCell ref="A5:G5"/>
    <mergeCell ref="H5:J5"/>
    <mergeCell ref="A6:G6"/>
    <mergeCell ref="H6:J6"/>
    <mergeCell ref="B11:G11"/>
    <mergeCell ref="H11:J11"/>
    <mergeCell ref="B12:G12"/>
    <mergeCell ref="H12:J12"/>
    <mergeCell ref="A13:D13"/>
    <mergeCell ref="E13:G13"/>
    <mergeCell ref="H13:J13"/>
    <mergeCell ref="A7:J7"/>
    <mergeCell ref="A8:J8"/>
    <mergeCell ref="B9:G9"/>
    <mergeCell ref="H9:J9"/>
    <mergeCell ref="B10:G10"/>
    <mergeCell ref="H10:J10"/>
    <mergeCell ref="A18:J18"/>
    <mergeCell ref="B19:G19"/>
    <mergeCell ref="H19:J19"/>
    <mergeCell ref="B20:G20"/>
    <mergeCell ref="H20:J20"/>
    <mergeCell ref="B21:G21"/>
    <mergeCell ref="H21:J21"/>
    <mergeCell ref="A14:D14"/>
    <mergeCell ref="E14:G14"/>
    <mergeCell ref="H14:J14"/>
    <mergeCell ref="A15:J15"/>
    <mergeCell ref="A16:J16"/>
    <mergeCell ref="A17:J17"/>
    <mergeCell ref="A25:J25"/>
    <mergeCell ref="B26:G26"/>
    <mergeCell ref="H26:I26"/>
    <mergeCell ref="B27:I27"/>
    <mergeCell ref="B28:H28"/>
    <mergeCell ref="B29:I29"/>
    <mergeCell ref="B22:G22"/>
    <mergeCell ref="H22:J22"/>
    <mergeCell ref="B23:G23"/>
    <mergeCell ref="H23:J23"/>
    <mergeCell ref="B24:G24"/>
    <mergeCell ref="H24:J24"/>
    <mergeCell ref="A36:J36"/>
    <mergeCell ref="A37:J37"/>
    <mergeCell ref="B38:I38"/>
    <mergeCell ref="B39:H39"/>
    <mergeCell ref="B40:H40"/>
    <mergeCell ref="A41:I41"/>
    <mergeCell ref="B30:I30"/>
    <mergeCell ref="A31:I31"/>
    <mergeCell ref="A32:J32"/>
    <mergeCell ref="B33:I33"/>
    <mergeCell ref="A34:I34"/>
    <mergeCell ref="A35:J35"/>
    <mergeCell ref="B48:H48"/>
    <mergeCell ref="B49:D49"/>
    <mergeCell ref="B50:H50"/>
    <mergeCell ref="B51:H51"/>
    <mergeCell ref="B52:H52"/>
    <mergeCell ref="B53:H53"/>
    <mergeCell ref="B42:I42"/>
    <mergeCell ref="A43:I43"/>
    <mergeCell ref="A44:J44"/>
    <mergeCell ref="A45:J45"/>
    <mergeCell ref="B46:H46"/>
    <mergeCell ref="B47:H47"/>
    <mergeCell ref="B60:H60"/>
    <mergeCell ref="B61:H61"/>
    <mergeCell ref="B62:H62"/>
    <mergeCell ref="B63:I63"/>
    <mergeCell ref="B64:H64"/>
    <mergeCell ref="B65:H65"/>
    <mergeCell ref="B54:H54"/>
    <mergeCell ref="A55:H55"/>
    <mergeCell ref="A56:J56"/>
    <mergeCell ref="A57:J57"/>
    <mergeCell ref="B58:I58"/>
    <mergeCell ref="B59:I59"/>
    <mergeCell ref="A72:J72"/>
    <mergeCell ref="A73:J73"/>
    <mergeCell ref="B74:I74"/>
    <mergeCell ref="C75:I75"/>
    <mergeCell ref="C76:I76"/>
    <mergeCell ref="C77:I77"/>
    <mergeCell ref="B66:I66"/>
    <mergeCell ref="B67:H67"/>
    <mergeCell ref="B68:H68"/>
    <mergeCell ref="B69:I69"/>
    <mergeCell ref="B70:I70"/>
    <mergeCell ref="A71:I71"/>
    <mergeCell ref="B84:H84"/>
    <mergeCell ref="B85:H85"/>
    <mergeCell ref="B86:H86"/>
    <mergeCell ref="B87:H87"/>
    <mergeCell ref="A88:I88"/>
    <mergeCell ref="A89:J89"/>
    <mergeCell ref="A78:I78"/>
    <mergeCell ref="A79:J79"/>
    <mergeCell ref="A80:J80"/>
    <mergeCell ref="B81:I81"/>
    <mergeCell ref="B82:H82"/>
    <mergeCell ref="B83:H83"/>
    <mergeCell ref="B96:H96"/>
    <mergeCell ref="B97:H97"/>
    <mergeCell ref="B98:H98"/>
    <mergeCell ref="B99:H99"/>
    <mergeCell ref="A100:I100"/>
    <mergeCell ref="B101:I101"/>
    <mergeCell ref="A90:J90"/>
    <mergeCell ref="A91:I91"/>
    <mergeCell ref="A92:J92"/>
    <mergeCell ref="B93:I93"/>
    <mergeCell ref="B94:H94"/>
    <mergeCell ref="B95:H95"/>
    <mergeCell ref="A108:I108"/>
    <mergeCell ref="A109:J109"/>
    <mergeCell ref="A110:J110"/>
    <mergeCell ref="B111:I111"/>
    <mergeCell ref="B112:I112"/>
    <mergeCell ref="B113:I113"/>
    <mergeCell ref="A102:I102"/>
    <mergeCell ref="A103:J103"/>
    <mergeCell ref="B104:I104"/>
    <mergeCell ref="B105:I105"/>
    <mergeCell ref="A106:I106"/>
    <mergeCell ref="B107:I107"/>
    <mergeCell ref="B120:I120"/>
    <mergeCell ref="B121:I121"/>
    <mergeCell ref="A122:I122"/>
    <mergeCell ref="A123:J123"/>
    <mergeCell ref="A124:J124"/>
    <mergeCell ref="B125:H125"/>
    <mergeCell ref="A114:I114"/>
    <mergeCell ref="A115:J115"/>
    <mergeCell ref="A116:J116"/>
    <mergeCell ref="B117:I117"/>
    <mergeCell ref="B118:I118"/>
    <mergeCell ref="B119:I119"/>
    <mergeCell ref="B132:H132"/>
    <mergeCell ref="B133:H133"/>
    <mergeCell ref="B134:H134"/>
    <mergeCell ref="B135:H135"/>
    <mergeCell ref="B136:H136"/>
    <mergeCell ref="B137:H137"/>
    <mergeCell ref="A126:H126"/>
    <mergeCell ref="B127:H127"/>
    <mergeCell ref="A128:H128"/>
    <mergeCell ref="B129:H129"/>
    <mergeCell ref="A130:H130"/>
    <mergeCell ref="B131:H131"/>
    <mergeCell ref="B138:H138"/>
    <mergeCell ref="B139:H139"/>
    <mergeCell ref="A140:I140"/>
    <mergeCell ref="A141:J141"/>
    <mergeCell ref="A142:H142"/>
    <mergeCell ref="A143:C145"/>
    <mergeCell ref="D143:J143"/>
    <mergeCell ref="D144:J144"/>
    <mergeCell ref="D145:J145"/>
    <mergeCell ref="B152:I152"/>
    <mergeCell ref="B153:I153"/>
    <mergeCell ref="A154:I154"/>
    <mergeCell ref="B155:I155"/>
    <mergeCell ref="A156:I156"/>
    <mergeCell ref="A146:J146"/>
    <mergeCell ref="A147:J147"/>
    <mergeCell ref="A148:I148"/>
    <mergeCell ref="B149:I149"/>
    <mergeCell ref="B150:I150"/>
    <mergeCell ref="B151:I151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3" manualBreakCount="3">
    <brk id="35" max="9" man="1"/>
    <brk id="79" max="9" man="1"/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RESUMO</vt:lpstr>
      <vt:lpstr>1- Terapeuta ocupacional- 2</vt:lpstr>
      <vt:lpstr>2- Neuropediatra ES. Autismo</vt:lpstr>
      <vt:lpstr>3- Neuropsicopedagogo</vt:lpstr>
      <vt:lpstr>4- Alimentadorde-sistema </vt:lpstr>
      <vt:lpstr>5- Psicologa</vt:lpstr>
      <vt:lpstr>6- Atendente Terapêutico</vt:lpstr>
      <vt:lpstr>7- Psicomotrocista</vt:lpstr>
      <vt:lpstr>8- Psicopedagogo</vt:lpstr>
      <vt:lpstr>9- fonodiologo</vt:lpstr>
      <vt:lpstr>Planilha1</vt:lpstr>
      <vt:lpstr>HE</vt:lpstr>
      <vt:lpstr>HE 2</vt:lpstr>
      <vt:lpstr>'1- Terapeuta ocupacional- 2'!Area_de_impressao</vt:lpstr>
      <vt:lpstr>'2- Neuropediatra ES. Autismo'!Area_de_impressao</vt:lpstr>
      <vt:lpstr>'3- Neuropsicopedagogo'!Area_de_impressao</vt:lpstr>
      <vt:lpstr>'4- Alimentadorde-sistema '!Area_de_impressao</vt:lpstr>
      <vt:lpstr>'5- Psicologa'!Area_de_impressao</vt:lpstr>
      <vt:lpstr>'6- Atendente Terapêutico'!Area_de_impressao</vt:lpstr>
      <vt:lpstr>'7- Psicomotrocista'!Area_de_impressao</vt:lpstr>
      <vt:lpstr>'8- Psicopedagogo'!Area_de_impressao</vt:lpstr>
      <vt:lpstr>'9- fonodiologo'!Area_de_impressao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 ADM</cp:lastModifiedBy>
  <cp:lastPrinted>2023-08-23T14:24:57Z</cp:lastPrinted>
  <dcterms:created xsi:type="dcterms:W3CDTF">2020-11-10T13:27:21Z</dcterms:created>
  <dcterms:modified xsi:type="dcterms:W3CDTF">2024-05-21T17:24:46Z</dcterms:modified>
</cp:coreProperties>
</file>